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1.xml" ContentType="application/vnd.openxmlformats-officedocument.drawing+xml"/>
  <Override PartName="/xl/worksheets/sheet13.xml" ContentType="application/vnd.openxmlformats-officedocument.spreadsheetml.worksheet+xml"/>
  <Override PartName="/xl/drawings/drawing2.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VerticalScroll="0" xWindow="480" yWindow="60" windowWidth="16755" windowHeight="11565" tabRatio="911" activeTab="2"/>
  </bookViews>
  <sheets>
    <sheet name="Data Entry" sheetId="1" r:id="rId1"/>
    <sheet name="White" sheetId="2" r:id="rId2"/>
    <sheet name="Black" sheetId="3" r:id="rId3"/>
    <sheet name="Hispanic" sheetId="4" r:id="rId4"/>
    <sheet name="Asian" sheetId="5" r:id="rId5"/>
    <sheet name="Hawaiian" sheetId="6" r:id="rId6"/>
    <sheet name="Am Indian" sheetId="7" r:id="rId7"/>
    <sheet name="Other - Mixed" sheetId="8" r:id="rId8"/>
    <sheet name="All Other Groups" sheetId="9" r:id="rId9"/>
    <sheet name="Summary" sheetId="10" r:id="rId10"/>
    <sheet name="Volume Issues" sheetId="11" r:id="rId11"/>
    <sheet name="compare counties" sheetId="12" r:id="rId12"/>
    <sheet name="compare States" sheetId="13" r:id="rId13"/>
    <sheet name="National Comparison" sheetId="14" r:id="rId14"/>
    <sheet name="Defaults" sheetId="15" r:id="rId15"/>
  </sheets>
  <definedNames>
    <definedName name="_xlnm.Print_Area" localSheetId="11">'compare counties'!$A$1:$J$159</definedName>
    <definedName name="_xlnm.Print_Area" localSheetId="12">'compare States'!$A$1:$J$166</definedName>
    <definedName name="_xlnm.Print_Area" localSheetId="0">'Data Entry'!$A$1:$J$23</definedName>
  </definedNames>
  <calcPr fullCalcOnLoad="1"/>
</workbook>
</file>

<file path=xl/sharedStrings.xml><?xml version="1.0" encoding="utf-8"?>
<sst xmlns="http://schemas.openxmlformats.org/spreadsheetml/2006/main" count="972" uniqueCount="238">
  <si>
    <t>ALM_PET_RRI</t>
  </si>
  <si>
    <t xml:space="preserve">Data Items </t>
  </si>
  <si>
    <t>2 = not sign</t>
  </si>
  <si>
    <t xml:space="preserve"> AREA REPORTED</t>
  </si>
  <si>
    <t>Reference Group</t>
  </si>
  <si>
    <t>BLK_DIV_RRI</t>
  </si>
  <si>
    <t>ALM_DET_RRI</t>
  </si>
  <si>
    <t>ASIAN_aRR_rri</t>
  </si>
  <si>
    <t>OMIX_PET_RRI</t>
  </si>
  <si>
    <t>2. Arrests of Juveniles - rate per 1000 population</t>
  </si>
  <si>
    <t>AHPI**</t>
  </si>
  <si>
    <t>All Minorities</t>
  </si>
  <si>
    <t>HPI_PROB_RRI</t>
  </si>
  <si>
    <t>ALM_PROB_RRI</t>
  </si>
  <si>
    <t>Note: results are only displayed if the corresponding RRI value is statistically significant</t>
  </si>
  <si>
    <t>minority</t>
  </si>
  <si>
    <t xml:space="preserve">Waiver rate </t>
  </si>
  <si>
    <t>BLK_DEL_RRI</t>
  </si>
  <si>
    <t xml:space="preserve">Petitioned rate </t>
  </si>
  <si>
    <t>OMIX_DET_RRI</t>
  </si>
  <si>
    <t>6. Cases Petitioned - rate per 100 referrals</t>
  </si>
  <si>
    <t>asian</t>
  </si>
  <si>
    <t>The Relative Risk Index is based on the computation and comparison of rates.  Under some circumstances these rates may be computed based on small numbers, which makes the rates relatively unreliable.  In general, rates based on five or fewer events from a possible base of 50 or fewer potential events should be viewed with caution.  In the individual work sheets for each race / ethnic group, a column appears which indicates whether the data meets these standards.  For those who wish to use other levels in their analysis of these data, the number of events and the size of the base population may be adjusted below.</t>
  </si>
  <si>
    <t xml:space="preserve">Probation rate </t>
  </si>
  <si>
    <t>5. DATA SOURCES &amp; NOTES</t>
  </si>
  <si>
    <t>INDN_CONF_RRI</t>
  </si>
  <si>
    <t>gt 100 group not meet 1%</t>
  </si>
  <si>
    <t>County : Statewide</t>
  </si>
  <si>
    <t xml:space="preserve">White </t>
  </si>
  <si>
    <t>Relative Rate Indices for Delinquency Offenses (White as Reference Group)</t>
  </si>
  <si>
    <t>Black or African-American</t>
  </si>
  <si>
    <t>ASIAN_PET_RRI</t>
  </si>
  <si>
    <t>expected</t>
  </si>
  <si>
    <t>OMIX_DEL_RRI</t>
  </si>
  <si>
    <t>Results that are not statistically significant</t>
  </si>
  <si>
    <t>ALM_TRANS_RRI</t>
  </si>
  <si>
    <t>Other/ Mixed</t>
  </si>
  <si>
    <t>ASIAN_DET_RRI</t>
  </si>
  <si>
    <t>OMIX_PROB_RRI</t>
  </si>
  <si>
    <t>hisp</t>
  </si>
  <si>
    <t>release date: March, 2011</t>
  </si>
  <si>
    <t>7. Delinquent Findings - rate per 100 youth petitioned (charged)</t>
  </si>
  <si>
    <t>comment - section below (rows N-Q) are for testing sufficient numbers for estimation - tests against settings from default page</t>
  </si>
  <si>
    <t>Use ONLY if Jurisdiction for data entry is at Statewide level and comparison is to White Youth</t>
  </si>
  <si>
    <t xml:space="preserve">Item 9.Confinement: </t>
  </si>
  <si>
    <t>BLK_PROB_RRI</t>
  </si>
  <si>
    <t>Charts comparing target State to range of RRI values by Race / Ethnicity and decision point</t>
  </si>
  <si>
    <t>through  6/30/2013</t>
  </si>
  <si>
    <t>5. Cases involving Detention  - rate per 100 referrals</t>
  </si>
  <si>
    <t>Missing</t>
  </si>
  <si>
    <t>Native Hawaiian or other Pacific Islanders</t>
  </si>
  <si>
    <t>BLK_TRANS_RRI</t>
  </si>
  <si>
    <t>actual base</t>
  </si>
  <si>
    <t>HISP_TRANS_RRI</t>
  </si>
  <si>
    <t>ASIAN_DEL_RRI</t>
  </si>
  <si>
    <t>Meets 1% rule for group to be assessed?</t>
  </si>
  <si>
    <t>State : Virginia</t>
  </si>
  <si>
    <t>Regular font</t>
  </si>
  <si>
    <t>BLK_aRR_rri</t>
  </si>
  <si>
    <t>6 - Native Hawaiian or other Pacific Islander Youth</t>
  </si>
  <si>
    <t>3. Refer to Juvenile Court</t>
  </si>
  <si>
    <t xml:space="preserve">Item 1.Population: </t>
  </si>
  <si>
    <t>HISP_PROB_RRI</t>
  </si>
  <si>
    <t>What would it take?</t>
  </si>
  <si>
    <t>9. Placement in  secure corrections - rate per 100 youth found delinquent</t>
  </si>
  <si>
    <t>comments - section for caclulating the base for rate calculations - we do a 'bubble sort' to replace any zero or missing bases with the value of the preceding stage - also keep track of lablels!</t>
  </si>
  <si>
    <t>7. Cases Resulting in Delinquent Findings</t>
  </si>
  <si>
    <t xml:space="preserve">4. Cases Diverted </t>
  </si>
  <si>
    <t>Number of Cases by Race / Ethnicity and Stage</t>
  </si>
  <si>
    <t>Reference Group for Calculation of Relative Rate</t>
  </si>
  <si>
    <t>format control</t>
  </si>
  <si>
    <t>Relative Rate Index Compared with :</t>
  </si>
  <si>
    <t>BLK_PET_RRI</t>
  </si>
  <si>
    <t xml:space="preserve">RATE </t>
  </si>
  <si>
    <t>10. Transfers to adult court - rate per 100 youth petitioned</t>
  </si>
  <si>
    <t>Group meets 1% threshold?</t>
  </si>
  <si>
    <t xml:space="preserve">9. Cases Resulting in Confinement in Secure    Juvenile Correctional Facilities </t>
  </si>
  <si>
    <t xml:space="preserve">Item 7.Delinquent: </t>
  </si>
  <si>
    <t>Recommended Base</t>
  </si>
  <si>
    <t>.</t>
  </si>
  <si>
    <t>BLK_DET_RRI</t>
  </si>
  <si>
    <t>is gt 1%</t>
  </si>
  <si>
    <t>other</t>
  </si>
  <si>
    <t xml:space="preserve">Juvenile Justice Rates </t>
  </si>
  <si>
    <t>per 100 youth petitioned</t>
  </si>
  <si>
    <t>OMIX_CONF_RRI</t>
  </si>
  <si>
    <t>Changes Needed to reach Statistical Parity with Reference Group Rates of Contact</t>
  </si>
  <si>
    <t>INDN_REF_rri</t>
  </si>
  <si>
    <t>BLK_CONF_RRI</t>
  </si>
  <si>
    <t>Minimum Size of Base Population</t>
  </si>
  <si>
    <t xml:space="preserve">Diversion rate </t>
  </si>
  <si>
    <t xml:space="preserve">All Minority </t>
  </si>
  <si>
    <t>Valid</t>
  </si>
  <si>
    <t>HISP_REF_rri</t>
  </si>
  <si>
    <t>3. Referrals to Juvenile Court - rate per 100 arrests</t>
  </si>
  <si>
    <t>per 100 referrals</t>
  </si>
  <si>
    <t>Definitions of rates:</t>
  </si>
  <si>
    <t xml:space="preserve">Assuming all else remained constant, what changes in volume for minority youth required to achieve statistical parity with </t>
  </si>
  <si>
    <t xml:space="preserve">Relative Rate Index      </t>
  </si>
  <si>
    <t>max</t>
  </si>
  <si>
    <t>ASIAN_PROB_RRI</t>
  </si>
  <si>
    <t>INDN_DIV_RRI</t>
  </si>
  <si>
    <t>What Would it Take?</t>
  </si>
  <si>
    <t>Insufficient number of cases for analysis</t>
  </si>
  <si>
    <t>Hispanic or Latino</t>
  </si>
  <si>
    <t xml:space="preserve">Item 2.Arrest: </t>
  </si>
  <si>
    <t>HISP_CONF_RRI</t>
  </si>
  <si>
    <t>a</t>
  </si>
  <si>
    <r>
      <rPr>
        <b/>
        <sz val="11"/>
        <rFont val="Times New Roman"/>
        <family val="1"/>
      </rPr>
      <t>Note</t>
    </r>
    <r>
      <rPr>
        <sz val="11"/>
        <rFont val="Times New Roman"/>
        <family val="1"/>
      </rPr>
      <t xml:space="preserve"> - All calculated values are shown, including those with non-significant RRI scores.</t>
    </r>
  </si>
  <si>
    <t>American Indian or Alaskan</t>
  </si>
  <si>
    <t>INDN_TRANS_RRI</t>
  </si>
  <si>
    <t>8. Probation placements - rate per 100 youth found delinquent</t>
  </si>
  <si>
    <t>5. Cases Involving Secure Detention</t>
  </si>
  <si>
    <t>Key:</t>
  </si>
  <si>
    <t>HISP_DIV_RRI</t>
  </si>
  <si>
    <t>4 - Hispanic or Latino Youth</t>
  </si>
  <si>
    <t>American Indian or Alaska Native</t>
  </si>
  <si>
    <t>pref base</t>
  </si>
  <si>
    <t>Bold font</t>
  </si>
  <si>
    <t>HPI_REF_rri</t>
  </si>
  <si>
    <t>Charts comparing target County to range of RRI values by Race / Ethnicity and decision point</t>
  </si>
  <si>
    <t>INDN_DEL_RRI</t>
  </si>
  <si>
    <t xml:space="preserve">Item 5.Detention: </t>
  </si>
  <si>
    <t xml:space="preserve">Item 4.Diversion: </t>
  </si>
  <si>
    <t>a. juristype = County</t>
  </si>
  <si>
    <t>b</t>
  </si>
  <si>
    <t>FOCAL GROUP:</t>
  </si>
  <si>
    <t>new chi sq</t>
  </si>
  <si>
    <t xml:space="preserve">Data Entry Section </t>
  </si>
  <si>
    <t>Missing data for some element of calculation</t>
  </si>
  <si>
    <t>HPI_DIV_RRI</t>
  </si>
  <si>
    <t>critical value</t>
  </si>
  <si>
    <t xml:space="preserve">AIAN* </t>
  </si>
  <si>
    <t xml:space="preserve">Item 3.Referral: </t>
  </si>
  <si>
    <t>HPI_CONF_RRI</t>
  </si>
  <si>
    <t>ALM_CONF_RRI</t>
  </si>
  <si>
    <t>Rate of Occurrence - Focal Group</t>
  </si>
  <si>
    <t>all remaining</t>
  </si>
  <si>
    <t>Total Youth</t>
  </si>
  <si>
    <t xml:space="preserve">Arrest rate </t>
  </si>
  <si>
    <t xml:space="preserve">10. Cases Transferred to Adult Court </t>
  </si>
  <si>
    <t>HPI_DEL_RRI</t>
  </si>
  <si>
    <t>OMIX_TRANS_RRI</t>
  </si>
  <si>
    <t>9 - All Minority youth</t>
  </si>
  <si>
    <t>The spreadsheet test provide a test of statistical significance  for use in guiding analysis.  The test which is used is based on the chi square distribution.  For a given decision (or example a finding of guilt / delinquency) It calculates the expected number of cases involving white youth and minority youth that would be expected to have the targeted decision (guilt), if there were no differences in the rates of that decision.  It then calculates how discrepant that actual results are from that expectation, and compares the size of the discrepancy to what could be expected to occur by chance at a given signficance level.  The 'standard' significance level is p=.05, meaning that a discrepancy of this magnitude (or larger) might occur by chance in 1 of 20 comparisons (.05 = 1/20).  For those who wish to use a different level of significance, change the entry below: choices are .10, .05, or .01  If some other entry is made, .05 will be used.</t>
  </si>
  <si>
    <t>Data Sufficiency Test</t>
  </si>
  <si>
    <t>INDN_aRR_rri</t>
  </si>
  <si>
    <t>6. Cases Petitioned</t>
  </si>
  <si>
    <t xml:space="preserve">Total Number In Focal Group </t>
  </si>
  <si>
    <t>nativ</t>
  </si>
  <si>
    <t>Minimum Number of Target Events</t>
  </si>
  <si>
    <t>Statistically significant results:</t>
  </si>
  <si>
    <t>All Other Groups</t>
  </si>
  <si>
    <t>ASIAN_CONF_RRI</t>
  </si>
  <si>
    <t>Sufficent Data for Signif. test?</t>
  </si>
  <si>
    <t>w</t>
  </si>
  <si>
    <t>ALM_REF_rri</t>
  </si>
  <si>
    <t>This will change the group that is used as the comparison for the relative rate.  The national standard is to use white youth.  This may be changed to the following:</t>
  </si>
  <si>
    <t>4. Cases involving Diversion before adjudication - rate per 100 referrals</t>
  </si>
  <si>
    <t>8. Cases resulting in Probation Placement</t>
  </si>
  <si>
    <t>6. Cases Petitioned (Charge Filed)</t>
  </si>
  <si>
    <t>gt 20 = insuff data</t>
  </si>
  <si>
    <t>HISP_aRR_rri</t>
  </si>
  <si>
    <t>Comparison with National DMC estimates from NCJJ (DMC Databook)</t>
  </si>
  <si>
    <t xml:space="preserve">Item 8.Probation: </t>
  </si>
  <si>
    <t xml:space="preserve">2. Juvenile Arrests </t>
  </si>
  <si>
    <t xml:space="preserve">Item 10.Transferred: </t>
  </si>
  <si>
    <t>per 100 arrests</t>
  </si>
  <si>
    <t>Significance level</t>
  </si>
  <si>
    <t xml:space="preserve">Referral rate </t>
  </si>
  <si>
    <t>per 1000 youth</t>
  </si>
  <si>
    <t>OMIX_REF_rri</t>
  </si>
  <si>
    <t>Hawaiian or other Pacific</t>
  </si>
  <si>
    <t>2007 National DMC Data</t>
  </si>
  <si>
    <t>White</t>
  </si>
  <si>
    <t>ALM_DIV_RRI</t>
  </si>
  <si>
    <t>INDN_PET_RRI</t>
  </si>
  <si>
    <t>Percentiles</t>
  </si>
  <si>
    <t>3 - Black or African - American Youth</t>
  </si>
  <si>
    <t>HPI_TRANS_RRI</t>
  </si>
  <si>
    <t>---</t>
  </si>
  <si>
    <t>5 - Asian youth</t>
  </si>
  <si>
    <t>Significance Testing</t>
  </si>
  <si>
    <t>HPI_aRR_rri</t>
  </si>
  <si>
    <t>a. juristype = State</t>
  </si>
  <si>
    <t>HISP_PET_RRI</t>
  </si>
  <si>
    <t xml:space="preserve">Item 6.Petitioned: </t>
  </si>
  <si>
    <t>per 100 youth found delinquent</t>
  </si>
  <si>
    <t>N</t>
  </si>
  <si>
    <t>Rate of Occurrence -Reference Group</t>
  </si>
  <si>
    <t>INDN_DET_RRI</t>
  </si>
  <si>
    <t xml:space="preserve">Stat. Signif? </t>
  </si>
  <si>
    <t>ALM_DEL_RRI</t>
  </si>
  <si>
    <t>OMIX_DIV_RRI</t>
  </si>
  <si>
    <t>ASIAN_REF_rri</t>
  </si>
  <si>
    <t>*</t>
  </si>
  <si>
    <t>HISP_DET_RRI</t>
  </si>
  <si>
    <t>Reference Group:</t>
  </si>
  <si>
    <t>regular</t>
  </si>
  <si>
    <t>Group is less than 1% of the youth population</t>
  </si>
  <si>
    <t>comment - chi square is based on single sample formula - is minority group rate the same as rate in reference group?  Uses observed - expected to create 'what will it take' value</t>
  </si>
  <si>
    <t>8 - Other or Mixed Youth</t>
  </si>
  <si>
    <t xml:space="preserve">Placement rate </t>
  </si>
  <si>
    <t xml:space="preserve">missing data indicator </t>
  </si>
  <si>
    <t>HPI_PET_RRI</t>
  </si>
  <si>
    <t>HISP_DEL_RRI</t>
  </si>
  <si>
    <t>white</t>
  </si>
  <si>
    <t>Base Used</t>
  </si>
  <si>
    <t>ASIAN_DIV_RRI</t>
  </si>
  <si>
    <t xml:space="preserve">  </t>
  </si>
  <si>
    <t>7- American Indian or Alaska Native Youth</t>
  </si>
  <si>
    <t>HPI_DET_RRI</t>
  </si>
  <si>
    <t>2 - White Youth</t>
  </si>
  <si>
    <t>c</t>
  </si>
  <si>
    <t>**</t>
  </si>
  <si>
    <t xml:space="preserve">Detention rate </t>
  </si>
  <si>
    <t>Rates for Delinquency Offenses</t>
  </si>
  <si>
    <t>3 = miss data</t>
  </si>
  <si>
    <t>1. AREA REPORTED</t>
  </si>
  <si>
    <t>all</t>
  </si>
  <si>
    <t>ALM_aRR_rri</t>
  </si>
  <si>
    <t>INDN_PROB_RRI</t>
  </si>
  <si>
    <t>ASIAN_TRANS_RRI</t>
  </si>
  <si>
    <t>1 - Total Youth</t>
  </si>
  <si>
    <t>comment - the following are the final values to be used in calculations</t>
  </si>
  <si>
    <r>
      <t xml:space="preserve">1. Population at risk (age </t>
    </r>
    <r>
      <rPr>
        <b/>
        <sz val="10"/>
        <color indexed="8"/>
        <rFont val="Times New Roman"/>
        <family val="1"/>
      </rPr>
      <t>10</t>
    </r>
    <r>
      <rPr>
        <sz val="10"/>
        <color indexed="8"/>
        <rFont val="Times New Roman"/>
        <family val="1"/>
      </rPr>
      <t xml:space="preserve">  through </t>
    </r>
    <r>
      <rPr>
        <b/>
        <sz val="10"/>
        <color indexed="8"/>
        <rFont val="Times New Roman"/>
        <family val="1"/>
      </rPr>
      <t>17</t>
    </r>
    <r>
      <rPr>
        <sz val="10"/>
        <color indexed="8"/>
        <rFont val="Times New Roman"/>
        <family val="1"/>
      </rPr>
      <t xml:space="preserve"> ) </t>
    </r>
  </si>
  <si>
    <t>o-e^2</t>
  </si>
  <si>
    <t>d</t>
  </si>
  <si>
    <t xml:space="preserve"> Reporting Period  7/1/2012</t>
  </si>
  <si>
    <t xml:space="preserve">9. Cases Resulting in Secure Confinement </t>
  </si>
  <si>
    <t>multiplier</t>
  </si>
  <si>
    <t xml:space="preserve">Adjudicated rate </t>
  </si>
  <si>
    <t>OMIX_aRR_rri</t>
  </si>
  <si>
    <t>BLK_REF_rri</t>
  </si>
  <si>
    <t>haw</t>
  </si>
  <si>
    <t>Asian</t>
  </si>
  <si>
    <t xml:space="preserve">Total Number of Reference Group </t>
  </si>
  <si>
    <t xml:space="preserve">Black </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</si>
</sst>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0.0000E+00"/>
    <numFmt numFmtId="167" formatCode="0.0"/>
  </numFmts>
  <fonts count="64">
    <font>
      <sz val="11"/>
      <name val="Times New Roman"/>
      <family val="1"/>
    </font>
    <font>
      <b/>
      <sz val="11"/>
      <color indexed="57"/>
      <name val="Times New Roman"/>
      <family val="1"/>
    </font>
    <font>
      <sz val="11"/>
      <color indexed="8"/>
      <name val="Calibri"/>
      <family val="2"/>
    </font>
    <font>
      <sz val="10"/>
      <color indexed="8"/>
      <name val="Times New Roman"/>
      <family val="1"/>
    </font>
    <font>
      <b/>
      <sz val="14"/>
      <name val="Calibri"/>
      <family val="0"/>
    </font>
    <font>
      <sz val="10"/>
      <color indexed="9"/>
      <name val="Times New Roman"/>
      <family val="1"/>
    </font>
    <font>
      <b/>
      <sz val="18"/>
      <color indexed="56"/>
      <name val="Cambria"/>
      <family val="2"/>
    </font>
    <font>
      <b/>
      <sz val="11"/>
      <name val="Times New Roman"/>
      <family val="1"/>
    </font>
    <font>
      <b/>
      <u val="single"/>
      <sz val="11"/>
      <name val="Times New Roman"/>
      <family val="1"/>
    </font>
    <font>
      <i/>
      <sz val="11"/>
      <color indexed="10"/>
      <name val="Times New Roman"/>
      <family val="1"/>
    </font>
    <font>
      <b/>
      <sz val="11"/>
      <color indexed="8"/>
      <name val="Times New Roman"/>
      <family val="1"/>
    </font>
    <font>
      <sz val="10"/>
      <name val="Times New Roman"/>
      <family val="1"/>
    </font>
    <font>
      <b/>
      <sz val="14"/>
      <color indexed="8"/>
      <name val="Times New Roman"/>
      <family val="1"/>
    </font>
    <font>
      <sz val="11"/>
      <color indexed="60"/>
      <name val="Calibri"/>
      <family val="2"/>
    </font>
    <font>
      <b/>
      <sz val="12"/>
      <name val="Calibri"/>
      <family val="2"/>
    </font>
    <font>
      <sz val="9"/>
      <color indexed="10"/>
      <name val="Times New Roman"/>
      <family val="1"/>
    </font>
    <font>
      <b/>
      <sz val="14"/>
      <name val="Times New Roman"/>
      <family val="1"/>
    </font>
    <font>
      <i/>
      <sz val="11"/>
      <color indexed="23"/>
      <name val="Calibri"/>
      <family val="2"/>
    </font>
    <font>
      <sz val="11"/>
      <name val="Calibri"/>
      <family val="2"/>
    </font>
    <font>
      <sz val="10"/>
      <color indexed="10"/>
      <name val="Times New Roman"/>
      <family val="1"/>
    </font>
    <font>
      <sz val="11"/>
      <color indexed="52"/>
      <name val="Calibri"/>
      <family val="2"/>
    </font>
    <font>
      <b/>
      <sz val="12"/>
      <color indexed="10"/>
      <name val="Calibri"/>
      <family val="2"/>
    </font>
    <font>
      <b/>
      <i/>
      <sz val="11"/>
      <name val="Times New Roman"/>
      <family val="1"/>
    </font>
    <font>
      <b/>
      <sz val="11"/>
      <color indexed="9"/>
      <name val="Calibri"/>
      <family val="2"/>
    </font>
    <font>
      <sz val="11"/>
      <color indexed="8"/>
      <name val="Times New Roman"/>
      <family val="1"/>
    </font>
    <font>
      <b/>
      <sz val="15"/>
      <color indexed="56"/>
      <name val="Calibri"/>
      <family val="2"/>
    </font>
    <font>
      <sz val="11"/>
      <color indexed="9"/>
      <name val="Times New Roman"/>
      <family val="1"/>
    </font>
    <font>
      <b/>
      <sz val="14"/>
      <color indexed="10"/>
      <name val="Times New Roman"/>
      <family val="1"/>
    </font>
    <font>
      <b/>
      <sz val="12"/>
      <name val="Times New Roman"/>
      <family val="1"/>
    </font>
    <font>
      <b/>
      <sz val="18"/>
      <name val="Calibri"/>
      <family val="0"/>
    </font>
    <font>
      <b/>
      <sz val="12"/>
      <color indexed="8"/>
      <name val="Times New Roman"/>
      <family val="1"/>
    </font>
    <font>
      <b/>
      <sz val="11"/>
      <color indexed="10"/>
      <name val="Times New Roman"/>
      <family val="1"/>
    </font>
    <font>
      <sz val="10"/>
      <color indexed="8"/>
      <name val="Arial"/>
      <family val="2"/>
    </font>
    <font>
      <i/>
      <sz val="8"/>
      <color indexed="8"/>
      <name val="Times New Roman"/>
      <family val="1"/>
    </font>
    <font>
      <b/>
      <sz val="10"/>
      <name val="Calibri"/>
      <family val="0"/>
    </font>
    <font>
      <sz val="14"/>
      <name val="Times New Roman"/>
      <family val="1"/>
    </font>
    <font>
      <sz val="11"/>
      <color indexed="10"/>
      <name val="Calibri"/>
      <family val="2"/>
    </font>
    <font>
      <b/>
      <sz val="13"/>
      <color indexed="56"/>
      <name val="Calibri"/>
      <family val="2"/>
    </font>
    <font>
      <sz val="11"/>
      <color indexed="62"/>
      <name val="Calibri"/>
      <family val="2"/>
    </font>
    <font>
      <b/>
      <sz val="16.8"/>
      <name val="Calibri"/>
      <family val="0"/>
    </font>
    <font>
      <b/>
      <sz val="10"/>
      <color indexed="8"/>
      <name val="Times New Roman"/>
      <family val="1"/>
    </font>
    <font>
      <sz val="11"/>
      <color indexed="17"/>
      <name val="Calibri"/>
      <family val="2"/>
    </font>
    <font>
      <b/>
      <sz val="10"/>
      <name val="Times New Roman"/>
      <family val="1"/>
    </font>
    <font>
      <sz val="12"/>
      <color indexed="8"/>
      <name val="Times New Roman"/>
      <family val="1"/>
    </font>
    <font>
      <b/>
      <sz val="11"/>
      <color indexed="8"/>
      <name val="Calibri"/>
      <family val="2"/>
    </font>
    <font>
      <sz val="10"/>
      <name val="Arial"/>
      <family val="2"/>
    </font>
    <font>
      <sz val="9"/>
      <name val="Times New Roman"/>
      <family val="1"/>
    </font>
    <font>
      <sz val="11"/>
      <color indexed="9"/>
      <name val="Calibri"/>
      <family val="2"/>
    </font>
    <font>
      <sz val="11"/>
      <color indexed="20"/>
      <name val="Calibri"/>
      <family val="2"/>
    </font>
    <font>
      <sz val="12"/>
      <name val="Times New Roman"/>
      <family val="1"/>
    </font>
    <font>
      <b/>
      <sz val="11"/>
      <color indexed="56"/>
      <name val="Calibri"/>
      <family val="2"/>
    </font>
    <font>
      <sz val="9"/>
      <color indexed="54"/>
      <name val="Times New Roman"/>
      <family val="1"/>
    </font>
    <font>
      <sz val="11"/>
      <color indexed="10"/>
      <name val="Times New Roman"/>
      <family val="1"/>
    </font>
    <font>
      <b/>
      <sz val="11"/>
      <color indexed="52"/>
      <name val="Calibri"/>
      <family val="2"/>
    </font>
    <font>
      <b/>
      <sz val="11"/>
      <color indexed="63"/>
      <name val="Calibri"/>
      <family val="2"/>
    </font>
    <font>
      <sz val="11"/>
      <color theme="1"/>
      <name val="Calibri"/>
      <family val="2"/>
      <scheme val="minor"/>
    </font>
    <font>
      <sz val="11"/>
      <color theme="0"/>
      <name val="Times New Roman"/>
      <family val="1"/>
    </font>
    <font>
      <b/>
      <sz val="12"/>
      <color theme="1"/>
      <name val="Calibri"/>
      <family val="2"/>
      <scheme val="minor"/>
    </font>
    <font>
      <sz val="10"/>
      <color rgb="FF000000"/>
      <name val="Arial"/>
      <family val="2"/>
    </font>
    <font>
      <sz val="10"/>
      <color rgb="FFFF0000"/>
      <name val="Times New Roman"/>
      <family val="1"/>
    </font>
    <font>
      <sz val="10"/>
      <color theme="0"/>
      <name val="Times New Roman"/>
      <family val="1"/>
    </font>
    <font>
      <b/>
      <sz val="12"/>
      <color rgb="FFFF0000"/>
      <name val="Calibri"/>
      <family val="2"/>
      <scheme val="minor"/>
    </font>
    <font>
      <sz val="9"/>
      <color theme="4"/>
      <name val="Times New Roman"/>
      <family val="1"/>
    </font>
    <font>
      <b/>
      <sz val="14"/>
      <color rgb="FFFF0000"/>
      <name val="Times New Roman"/>
      <family val="1"/>
    </font>
  </fonts>
  <fills count="25">
    <fill>
      <patternFill/>
    </fill>
    <fill>
      <patternFill patternType="gray125"/>
    </fill>
    <fill>
      <patternFill patternType="solid">
        <fgColor indexed="47"/>
        <bgColor indexed="64"/>
      </patternFill>
    </fill>
    <fill>
      <patternFill patternType="solid">
        <fgColor indexed="51"/>
        <bgColor indexed="64"/>
      </patternFill>
    </fill>
    <fill>
      <patternFill patternType="solid">
        <fgColor indexed="10"/>
        <bgColor indexed="64"/>
      </patternFill>
    </fill>
    <fill>
      <patternFill patternType="solid">
        <fgColor indexed="29"/>
        <bgColor indexed="64"/>
      </patternFill>
    </fill>
    <fill>
      <patternFill patternType="solid">
        <fgColor indexed="45"/>
        <bgColor indexed="64"/>
      </patternFill>
    </fill>
    <fill>
      <patternFill patternType="solid">
        <fgColor indexed="31"/>
        <bgColor indexed="64"/>
      </patternFill>
    </fill>
    <fill>
      <patternFill patternType="solid">
        <fgColor indexed="27"/>
        <bgColor indexed="64"/>
      </patternFill>
    </fill>
    <fill>
      <patternFill patternType="solid">
        <fgColor indexed="44"/>
        <bgColor indexed="64"/>
      </patternFill>
    </fill>
    <fill>
      <patternFill patternType="solid">
        <fgColor indexed="62"/>
        <bgColor indexed="64"/>
      </patternFill>
    </fill>
    <fill>
      <patternFill patternType="solid">
        <fgColor indexed="11"/>
        <bgColor indexed="64"/>
      </patternFill>
    </fill>
    <fill>
      <patternFill patternType="solid">
        <fgColor indexed="46"/>
        <bgColor indexed="64"/>
      </patternFill>
    </fill>
    <fill>
      <patternFill patternType="solid">
        <fgColor indexed="53"/>
        <bgColor indexed="64"/>
      </patternFill>
    </fill>
    <fill>
      <patternFill patternType="solid">
        <fgColor indexed="22"/>
        <bgColor indexed="64"/>
      </patternFill>
    </fill>
    <fill>
      <patternFill patternType="solid">
        <fgColor indexed="57"/>
        <bgColor indexed="64"/>
      </patternFill>
    </fill>
    <fill>
      <patternFill patternType="solid">
        <fgColor indexed="49"/>
        <bgColor indexed="64"/>
      </patternFill>
    </fill>
    <fill>
      <patternFill patternType="solid">
        <fgColor indexed="36"/>
        <bgColor indexed="64"/>
      </patternFill>
    </fill>
    <fill>
      <patternFill patternType="solid">
        <fgColor indexed="55"/>
        <bgColor indexed="64"/>
      </patternFill>
    </fill>
    <fill>
      <patternFill patternType="solid">
        <fgColor indexed="26"/>
        <bgColor indexed="64"/>
      </patternFill>
    </fill>
    <fill>
      <patternFill patternType="solid">
        <fgColor indexed="52"/>
        <bgColor indexed="64"/>
      </patternFill>
    </fill>
    <fill>
      <patternFill patternType="solid">
        <fgColor indexed="30"/>
        <bgColor indexed="64"/>
      </patternFill>
    </fill>
    <fill>
      <patternFill patternType="solid">
        <fgColor indexed="42"/>
        <bgColor indexed="64"/>
      </patternFill>
    </fill>
    <fill>
      <patternFill patternType="solid">
        <fgColor indexed="43"/>
        <bgColor indexed="64"/>
      </patternFill>
    </fill>
    <fill>
      <patternFill patternType="lightTrellis"/>
    </fill>
  </fills>
  <borders count="45">
    <border>
      <left/>
      <right/>
      <top/>
      <bottom/>
      <diagonal/>
    </border>
    <border>
      <left>
        <color indexed="63"/>
      </left>
      <right>
        <color indexed="63"/>
      </right>
      <top>
        <color indexed="63"/>
      </top>
      <bottom style="medium">
        <color indexed="30"/>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22"/>
      </bottom>
    </border>
    <border>
      <left style="thin">
        <color indexed="8"/>
      </left>
      <right style="thin">
        <color indexed="8"/>
      </right>
      <top>
        <color indexed="63"/>
      </top>
      <bottom>
        <color indexed="63"/>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style="thin"/>
      <bottom style="thin"/>
    </border>
    <border>
      <left>
        <color indexed="63"/>
      </left>
      <right>
        <color indexed="63"/>
      </right>
      <top>
        <color indexed="63"/>
      </top>
      <bottom style="thin">
        <color indexed="10"/>
      </bottom>
    </border>
    <border>
      <left style="medium">
        <color indexed="8"/>
      </left>
      <right>
        <color indexed="63"/>
      </right>
      <top style="thin">
        <color indexed="8"/>
      </top>
      <bottom style="thin">
        <color indexed="8"/>
      </bottom>
    </border>
    <border>
      <left style="thin">
        <color indexed="8"/>
      </left>
      <right>
        <color indexed="63"/>
      </right>
      <top style="medium">
        <color indexed="8"/>
      </top>
      <bottom style="medium">
        <color indexed="8"/>
      </bottom>
    </border>
    <border>
      <left style="medium">
        <color indexed="8"/>
      </left>
      <right>
        <color indexed="63"/>
      </right>
      <top style="thin">
        <color indexed="8"/>
      </top>
      <bottom style="medium">
        <color indexed="8"/>
      </bottom>
    </border>
    <border>
      <left>
        <color indexed="63"/>
      </left>
      <right>
        <color indexed="63"/>
      </right>
      <top style="medium"/>
      <bottom style="thin"/>
    </border>
    <border>
      <left style="thin">
        <color indexed="8"/>
      </left>
      <right style="thin">
        <color indexed="8"/>
      </right>
      <top style="medium">
        <color indexed="8"/>
      </top>
      <bottom style="medium">
        <color indexed="8"/>
      </bottom>
    </border>
    <border>
      <left>
        <color indexed="63"/>
      </left>
      <right style="medium">
        <color indexed="8"/>
      </right>
      <top style="medium">
        <color indexed="8"/>
      </top>
      <bottom style="medium">
        <color indexed="8"/>
      </bottom>
    </border>
    <border>
      <left style="thin">
        <color indexed="8"/>
      </left>
      <right style="thin">
        <color indexed="8"/>
      </right>
      <top style="thin">
        <color indexed="8"/>
      </top>
      <bottom style="medium">
        <color indexed="8"/>
      </bottom>
    </border>
    <border>
      <left>
        <color indexed="63"/>
      </left>
      <right>
        <color indexed="63"/>
      </right>
      <top style="medium">
        <color indexed="8"/>
      </top>
      <bottom style="medium">
        <color indexed="8"/>
      </bottom>
    </border>
    <border>
      <left>
        <color indexed="63"/>
      </left>
      <right style="medium"/>
      <top style="medium"/>
      <bottom>
        <color indexed="63"/>
      </bottom>
    </border>
    <border>
      <left>
        <color indexed="63"/>
      </left>
      <right style="medium"/>
      <top>
        <color indexed="63"/>
      </top>
      <bottom style="thin"/>
    </border>
    <border>
      <left style="medium"/>
      <right>
        <color indexed="63"/>
      </right>
      <top style="thin"/>
      <bottom style="thin"/>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style="thin"/>
      <bottom style="medium"/>
    </border>
    <border>
      <left>
        <color indexed="63"/>
      </left>
      <right>
        <color indexed="63"/>
      </right>
      <top style="medium">
        <color indexed="8"/>
      </top>
      <bottom style="thin">
        <color indexed="8"/>
      </bottom>
    </border>
    <border>
      <left>
        <color indexed="63"/>
      </left>
      <right style="medium"/>
      <top style="medium"/>
      <bottom style="thin"/>
    </border>
    <border>
      <left>
        <color indexed="63"/>
      </left>
      <right style="medium"/>
      <top style="thin"/>
      <bottom style="thin"/>
    </border>
    <border>
      <left>
        <color indexed="63"/>
      </left>
      <right>
        <color indexed="63"/>
      </right>
      <top style="thin"/>
      <bottom style="medium"/>
    </border>
    <border>
      <left style="thin">
        <color indexed="8"/>
      </left>
      <right style="medium">
        <color indexed="8"/>
      </right>
      <top style="medium">
        <color indexed="8"/>
      </top>
      <bottom style="medium">
        <color indexed="8"/>
      </bottom>
    </border>
    <border>
      <left>
        <color indexed="63"/>
      </left>
      <right style="medium"/>
      <top style="thin"/>
      <bottom style="medium"/>
    </border>
    <border>
      <left style="thin">
        <color indexed="8"/>
      </left>
      <right style="thin">
        <color indexed="8"/>
      </right>
      <top style="thin">
        <color indexed="8"/>
      </top>
      <bottom>
        <color indexed="63"/>
      </bottom>
    </border>
    <border>
      <left style="medium">
        <color indexed="8"/>
      </left>
      <right style="medium">
        <color indexed="8"/>
      </right>
      <top style="medium">
        <color indexed="8"/>
      </top>
      <bottom style="medium">
        <color indexed="8"/>
      </bottom>
    </border>
    <border>
      <left style="medium"/>
      <right>
        <color indexed="63"/>
      </right>
      <top>
        <color indexed="63"/>
      </top>
      <bottom style="medium"/>
    </border>
    <border>
      <left>
        <color indexed="63"/>
      </left>
      <right>
        <color indexed="63"/>
      </right>
      <top style="thin">
        <color indexed="10"/>
      </top>
      <bottom style="thin">
        <color indexed="10"/>
      </bottom>
    </border>
    <border>
      <left>
        <color indexed="63"/>
      </left>
      <right style="medium"/>
      <top>
        <color indexed="63"/>
      </top>
      <bottom style="medium"/>
    </border>
    <border>
      <left>
        <color indexed="63"/>
      </left>
      <right>
        <color indexed="63"/>
      </right>
      <top>
        <color indexed="63"/>
      </top>
      <bottom style="thin"/>
    </border>
    <border>
      <left style="medium"/>
      <right style="thin"/>
      <top style="medium"/>
      <bottom style="thin"/>
    </border>
    <border>
      <left style="medium"/>
      <right>
        <color indexed="63"/>
      </right>
      <top style="medium"/>
      <bottom style="thin"/>
    </border>
    <border>
      <left>
        <color indexed="63"/>
      </left>
      <right>
        <color indexed="63"/>
      </right>
      <top>
        <color indexed="63"/>
      </top>
      <bottom style="medium"/>
    </border>
    <border>
      <left style="medium">
        <color indexed="8"/>
      </left>
      <right>
        <color indexed="63"/>
      </right>
      <top style="medium">
        <color indexed="8"/>
      </top>
      <bottom style="thin">
        <color indexed="8"/>
      </bottom>
    </border>
    <border>
      <left style="thin">
        <color indexed="8"/>
      </left>
      <right>
        <color indexed="63"/>
      </right>
      <top>
        <color indexed="63"/>
      </top>
      <bottom>
        <color indexed="63"/>
      </bottom>
    </border>
    <border>
      <left>
        <color indexed="63"/>
      </left>
      <right>
        <color indexed="63"/>
      </right>
      <top>
        <color indexed="63"/>
      </top>
      <bottom style="thin">
        <color indexed="8"/>
      </bottom>
    </border>
  </borders>
  <cellStyleXfs count="67">
    <xf numFmtId="4" fontId="0" fillId="0" borderId="0" applyFill="0" applyBorder="0">
      <alignment/>
      <protection/>
    </xf>
    <xf numFmtId="4" fontId="0" fillId="0" borderId="0" applyNumberFormat="0" applyFill="0" applyBorder="0" applyAlignment="0" applyProtection="0"/>
    <xf numFmtId="4" fontId="0" fillId="0" borderId="0" applyNumberFormat="0" applyFill="0" applyBorder="0" applyAlignment="0" applyProtection="0"/>
    <xf numFmtId="4" fontId="0" fillId="0" borderId="0" applyNumberFormat="0" applyFill="0" applyBorder="0" applyAlignment="0" applyProtection="0"/>
    <xf numFmtId="4" fontId="0" fillId="0" borderId="0" applyNumberFormat="0" applyFill="0" applyBorder="0" applyAlignment="0" applyProtection="0"/>
    <xf numFmtId="4" fontId="0" fillId="0" borderId="0" applyNumberFormat="0" applyFill="0" applyBorder="0" applyAlignment="0" applyProtection="0"/>
    <xf numFmtId="4" fontId="0" fillId="0" borderId="0" applyNumberFormat="0" applyFill="0" applyBorder="0" applyAlignment="0" applyProtection="0"/>
    <xf numFmtId="4" fontId="0" fillId="0" borderId="0" applyNumberFormat="0" applyFill="0" applyBorder="0" applyAlignment="0" applyProtection="0"/>
    <xf numFmtId="4" fontId="0" fillId="0" borderId="0" applyNumberFormat="0" applyFill="0" applyBorder="0" applyAlignment="0" applyProtection="0"/>
    <xf numFmtId="4" fontId="0" fillId="0" borderId="0" applyNumberFormat="0" applyFill="0" applyBorder="0" applyAlignment="0" applyProtection="0"/>
    <xf numFmtId="4" fontId="0" fillId="0" borderId="0" applyNumberFormat="0" applyFill="0" applyBorder="0" applyAlignment="0" applyProtection="0"/>
    <xf numFmtId="4" fontId="0" fillId="0" borderId="0" applyNumberFormat="0" applyFill="0" applyBorder="0" applyAlignment="0" applyProtection="0"/>
    <xf numFmtId="4" fontId="0" fillId="0" borderId="0" applyNumberFormat="0" applyFill="0" applyBorder="0" applyAlignment="0" applyProtection="0"/>
    <xf numFmtId="4" fontId="0" fillId="0" borderId="0" applyNumberFormat="0" applyFill="0" applyBorder="0" applyAlignment="0" applyProtection="0"/>
    <xf numFmtId="4" fontId="0" fillId="0" borderId="0" applyNumberFormat="0" applyFill="0" applyBorder="0" applyAlignment="0" applyProtection="0"/>
    <xf numFmtId="0" fontId="50" fillId="0" borderId="1" applyNumberFormat="0" applyFill="0" applyAlignment="0" applyProtection="0"/>
    <xf numFmtId="0" fontId="38" fillId="2" borderId="2" applyNumberFormat="0" applyAlignment="0" applyProtection="0"/>
    <xf numFmtId="0" fontId="2" fillId="3" borderId="0" applyNumberFormat="0" applyBorder="0" applyAlignment="0" applyProtection="0"/>
    <xf numFmtId="0" fontId="47" fillId="4" borderId="0" applyNumberFormat="0" applyBorder="0" applyAlignment="0" applyProtection="0"/>
    <xf numFmtId="0" fontId="2" fillId="5" borderId="0" applyNumberFormat="0" applyBorder="0" applyAlignment="0" applyProtection="0"/>
    <xf numFmtId="0" fontId="48"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32" fillId="0" borderId="0">
      <alignment/>
      <protection/>
    </xf>
    <xf numFmtId="0" fontId="2" fillId="9" borderId="0" applyNumberFormat="0" applyBorder="0" applyAlignment="0" applyProtection="0"/>
    <xf numFmtId="0" fontId="6" fillId="0" borderId="0" applyNumberFormat="0" applyFill="0" applyBorder="0" applyAlignment="0" applyProtection="0"/>
    <xf numFmtId="0" fontId="47" fillId="5" borderId="0" applyNumberFormat="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47" fillId="10" borderId="0" applyNumberFormat="0" applyBorder="0" applyAlignment="0" applyProtection="0"/>
    <xf numFmtId="0" fontId="47" fillId="11" borderId="0" applyNumberFormat="0" applyBorder="0" applyAlignment="0" applyProtection="0"/>
    <xf numFmtId="0" fontId="2" fillId="12" borderId="0" applyNumberFormat="0" applyBorder="0" applyAlignment="0" applyProtection="0"/>
    <xf numFmtId="0" fontId="47" fillId="13" borderId="0" applyNumberFormat="0" applyBorder="0" applyAlignment="0" applyProtection="0"/>
    <xf numFmtId="0" fontId="3" fillId="0" borderId="4" applyNumberFormat="0" applyFont="0" applyFill="0" applyBorder="0" applyAlignment="0" applyProtection="0"/>
    <xf numFmtId="0" fontId="45" fillId="0" borderId="0" applyNumberFormat="0" applyFill="0" applyBorder="0" applyAlignment="0" applyProtection="0"/>
    <xf numFmtId="0" fontId="53" fillId="14" borderId="2" applyNumberFormat="0" applyAlignment="0" applyProtection="0"/>
    <xf numFmtId="0" fontId="2" fillId="12" borderId="0" applyNumberFormat="0" applyBorder="0" applyAlignment="0" applyProtection="0"/>
    <xf numFmtId="44" fontId="0" fillId="0" borderId="0" applyFont="0" applyFill="0" applyBorder="0" applyAlignment="0" applyProtection="0"/>
    <xf numFmtId="0" fontId="47" fillId="15" borderId="0" applyNumberFormat="0" applyBorder="0" applyAlignment="0" applyProtection="0"/>
    <xf numFmtId="0" fontId="47" fillId="16" borderId="0" applyNumberFormat="0" applyBorder="0" applyAlignment="0" applyProtection="0"/>
    <xf numFmtId="0" fontId="2" fillId="2" borderId="0" applyNumberFormat="0" applyBorder="0" applyAlignment="0" applyProtection="0"/>
    <xf numFmtId="0" fontId="47" fillId="17" borderId="0" applyNumberFormat="0" applyBorder="0" applyAlignment="0" applyProtection="0"/>
    <xf numFmtId="0" fontId="23" fillId="18" borderId="5" applyNumberFormat="0" applyAlignment="0" applyProtection="0"/>
    <xf numFmtId="0" fontId="2" fillId="19" borderId="6" applyNumberFormat="0" applyFont="0" applyAlignment="0" applyProtection="0"/>
    <xf numFmtId="0" fontId="47" fillId="20" borderId="0" applyNumberFormat="0" applyBorder="0" applyAlignment="0" applyProtection="0"/>
    <xf numFmtId="41" fontId="0" fillId="0" borderId="0" applyFont="0" applyFill="0" applyBorder="0" applyAlignment="0" applyProtection="0"/>
    <xf numFmtId="43" fontId="0" fillId="0" borderId="0" applyFont="0" applyFill="0" applyBorder="0" applyAlignment="0" applyProtection="0"/>
    <xf numFmtId="0" fontId="47" fillId="21" borderId="0" applyNumberFormat="0" applyBorder="0" applyAlignment="0" applyProtection="0"/>
    <xf numFmtId="9" fontId="55" fillId="0" borderId="0" applyFont="0" applyFill="0" applyBorder="0" applyAlignment="0" applyProtection="0"/>
    <xf numFmtId="0" fontId="2" fillId="22" borderId="0" applyNumberFormat="0" applyBorder="0" applyAlignment="0" applyProtection="0"/>
    <xf numFmtId="0" fontId="2" fillId="6"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2" fillId="11" borderId="0" applyNumberFormat="0" applyBorder="0" applyAlignment="0" applyProtection="0"/>
    <xf numFmtId="0" fontId="50" fillId="0" borderId="0" applyNumberFormat="0" applyFill="0" applyBorder="0" applyAlignment="0" applyProtection="0"/>
    <xf numFmtId="42" fontId="0" fillId="0" borderId="0" applyFont="0" applyFill="0" applyBorder="0" applyAlignment="0" applyProtection="0"/>
    <xf numFmtId="0" fontId="41" fillId="22" borderId="0" applyNumberFormat="0" applyBorder="0" applyAlignment="0" applyProtection="0"/>
    <xf numFmtId="0" fontId="17" fillId="0" borderId="0" applyNumberFormat="0" applyFill="0" applyBorder="0" applyAlignment="0" applyProtection="0"/>
    <xf numFmtId="0" fontId="25" fillId="0" borderId="7" applyNumberFormat="0" applyFill="0" applyAlignment="0" applyProtection="0"/>
    <xf numFmtId="0" fontId="13" fillId="23" borderId="0" applyNumberFormat="0" applyBorder="0" applyAlignment="0" applyProtection="0"/>
    <xf numFmtId="0" fontId="54" fillId="14" borderId="8" applyNumberFormat="0" applyAlignment="0" applyProtection="0"/>
    <xf numFmtId="0" fontId="20" fillId="0" borderId="9" applyNumberFormat="0" applyFill="0" applyAlignment="0" applyProtection="0"/>
    <xf numFmtId="0" fontId="55" fillId="0" borderId="0">
      <alignment/>
      <protection/>
    </xf>
    <xf numFmtId="0" fontId="32" fillId="0" borderId="0">
      <alignment/>
      <protection/>
    </xf>
    <xf numFmtId="0" fontId="44" fillId="0" borderId="10" applyNumberFormat="0" applyFill="0" applyAlignment="0" applyProtection="0"/>
    <xf numFmtId="9" fontId="0" fillId="0" borderId="0" applyFont="0" applyFill="0" applyBorder="0" applyAlignment="0" applyProtection="0"/>
    <xf numFmtId="0" fontId="2" fillId="9" borderId="0" applyNumberFormat="0" applyBorder="0" applyAlignment="0" applyProtection="0"/>
  </cellStyleXfs>
  <cellXfs count="172">
    <xf numFmtId="4" fontId="0" fillId="0" borderId="0" xfId="0" applyAlignment="1">
      <alignment/>
    </xf>
    <xf numFmtId="4" fontId="28" fillId="0" borderId="0" xfId="0" applyFont="1" applyAlignment="1">
      <alignment horizontal="left"/>
    </xf>
    <xf numFmtId="3" fontId="0" fillId="0" borderId="0" xfId="0" applyNumberFormat="1" applyAlignment="1" applyProtection="1">
      <alignment wrapText="1"/>
      <protection hidden="1"/>
    </xf>
    <xf numFmtId="1" fontId="56" fillId="0" borderId="11" xfId="0" applyNumberFormat="1" applyFont="1" applyBorder="1" applyAlignment="1">
      <alignment horizontal="center" vertical="center"/>
    </xf>
    <xf numFmtId="4" fontId="30" fillId="0" borderId="0" xfId="0" applyFont="1" applyFill="1" applyBorder="1" applyAlignment="1">
      <alignment vertical="top" wrapText="1"/>
    </xf>
    <xf numFmtId="4" fontId="0" fillId="0" borderId="0" xfId="0" applyBorder="1" applyAlignment="1" applyProtection="1">
      <alignment wrapText="1"/>
      <protection hidden="1"/>
    </xf>
    <xf numFmtId="4" fontId="11" fillId="0" borderId="12" xfId="0" applyFont="1" applyBorder="1" applyAlignment="1">
      <alignment/>
    </xf>
    <xf numFmtId="4" fontId="3" fillId="0" borderId="13" xfId="0" applyFont="1" applyBorder="1" applyAlignment="1">
      <alignment vertical="top" wrapText="1"/>
    </xf>
    <xf numFmtId="4" fontId="0" fillId="0" borderId="0" xfId="0" applyAlignment="1" applyProtection="1">
      <alignment/>
      <protection locked="0"/>
    </xf>
    <xf numFmtId="3" fontId="3" fillId="8" borderId="14" xfId="0" applyNumberFormat="1" applyFont="1" applyFill="1" applyBorder="1" applyAlignment="1" applyProtection="1">
      <alignment horizontal="right" vertical="center" wrapText="1"/>
      <protection locked="0"/>
    </xf>
    <xf numFmtId="4" fontId="3" fillId="0" borderId="15" xfId="0" applyFont="1" applyBorder="1" applyAlignment="1">
      <alignment vertical="top" wrapText="1"/>
    </xf>
    <xf numFmtId="4" fontId="3" fillId="8" borderId="0" xfId="0" applyFont="1" applyFill="1" applyAlignment="1" applyProtection="1">
      <alignment horizontal="left" vertical="top"/>
      <protection locked="0"/>
    </xf>
    <xf numFmtId="4" fontId="3" fillId="0" borderId="0" xfId="0" applyFont="1" applyAlignment="1">
      <alignment horizontal="center" vertical="top" wrapText="1"/>
    </xf>
    <xf numFmtId="1" fontId="3" fillId="0" borderId="11" xfId="0" applyNumberFormat="1" applyFont="1" applyBorder="1" applyAlignment="1">
      <alignment vertical="top" wrapText="1"/>
    </xf>
    <xf numFmtId="1" fontId="0" fillId="0" borderId="16" xfId="0" applyNumberFormat="1" applyBorder="1" applyAlignment="1">
      <alignment horizontal="center" vertical="center"/>
    </xf>
    <xf numFmtId="4" fontId="0" fillId="0" borderId="17" xfId="0" applyFill="1" applyBorder="1" applyAlignment="1" applyProtection="1">
      <alignment horizontal="center" vertical="center"/>
      <protection/>
    </xf>
    <xf numFmtId="4" fontId="0" fillId="24" borderId="18" xfId="0" applyFont="1" applyFill="1" applyBorder="1" applyAlignment="1" applyProtection="1">
      <alignment horizontal="center" vertical="center"/>
      <protection/>
    </xf>
    <xf numFmtId="3" fontId="0" fillId="0" borderId="0" xfId="0" applyNumberFormat="1" applyAlignment="1">
      <alignment vertical="center"/>
    </xf>
    <xf numFmtId="4" fontId="40" fillId="0" borderId="0" xfId="0" applyFont="1" applyAlignment="1">
      <alignment horizontal="center" wrapText="1"/>
    </xf>
    <xf numFmtId="4" fontId="3" fillId="8" borderId="0" xfId="0" applyFont="1" applyFill="1" applyAlignment="1" applyProtection="1">
      <alignment horizontal="center" vertical="top" wrapText="1"/>
      <protection locked="0"/>
    </xf>
    <xf numFmtId="4" fontId="3" fillId="0" borderId="19" xfId="0" applyFont="1" applyBorder="1" applyAlignment="1">
      <alignment horizontal="center" vertical="top" wrapText="1"/>
    </xf>
    <xf numFmtId="165" fontId="0" fillId="0" borderId="11" xfId="0" applyNumberFormat="1" applyBorder="1" applyAlignment="1">
      <alignment horizontal="center" vertical="center"/>
    </xf>
    <xf numFmtId="4" fontId="3" fillId="0" borderId="0" xfId="33" applyNumberFormat="1" applyFont="1" applyBorder="1" applyAlignment="1">
      <alignment vertical="top" wrapText="1"/>
    </xf>
    <xf numFmtId="4" fontId="0" fillId="0" borderId="20" xfId="0" applyBorder="1" applyAlignment="1" applyProtection="1">
      <alignment horizontal="center" vertical="center"/>
      <protection/>
    </xf>
    <xf numFmtId="4" fontId="0" fillId="0" borderId="21" xfId="0" applyBorder="1" applyAlignment="1">
      <alignment/>
    </xf>
    <xf numFmtId="3" fontId="0" fillId="0" borderId="0" xfId="0" applyNumberFormat="1" applyAlignment="1">
      <alignment wrapText="1"/>
    </xf>
    <xf numFmtId="4" fontId="0" fillId="0" borderId="22" xfId="0" applyBorder="1" applyAlignment="1">
      <alignment wrapText="1"/>
    </xf>
    <xf numFmtId="3" fontId="16" fillId="0" borderId="0" xfId="0" applyNumberFormat="1" applyFont="1" applyAlignment="1">
      <alignment/>
    </xf>
    <xf numFmtId="166" fontId="0" fillId="0" borderId="0" xfId="0" applyNumberFormat="1" applyAlignment="1">
      <alignment/>
    </xf>
    <xf numFmtId="4" fontId="0" fillId="0" borderId="23" xfId="0" applyBorder="1" applyAlignment="1">
      <alignment wrapText="1"/>
    </xf>
    <xf numFmtId="4" fontId="42" fillId="0" borderId="24" xfId="0" applyFont="1" applyBorder="1" applyAlignment="1">
      <alignment/>
    </xf>
    <xf numFmtId="4" fontId="1" fillId="0" borderId="0" xfId="0" applyFont="1" applyAlignment="1">
      <alignment/>
    </xf>
    <xf numFmtId="4" fontId="0" fillId="0" borderId="0" xfId="0" applyAlignment="1">
      <alignment/>
    </xf>
    <xf numFmtId="4" fontId="0" fillId="0" borderId="0" xfId="0" applyAlignment="1" applyProtection="1">
      <alignment horizontal="left"/>
      <protection locked="0"/>
    </xf>
    <xf numFmtId="4" fontId="12" fillId="0" borderId="0" xfId="0" applyFont="1" applyBorder="1" applyAlignment="1">
      <alignment vertical="top" wrapText="1"/>
    </xf>
    <xf numFmtId="0" fontId="57" fillId="0" borderId="0" xfId="62" applyFont="1">
      <alignment/>
      <protection/>
    </xf>
    <xf numFmtId="4" fontId="7" fillId="0" borderId="25" xfId="0" applyFont="1" applyBorder="1" applyAlignment="1">
      <alignment/>
    </xf>
    <xf numFmtId="4" fontId="33" fillId="0" borderId="26" xfId="0" applyFont="1" applyFill="1" applyBorder="1" applyAlignment="1">
      <alignment vertical="top" wrapText="1"/>
    </xf>
    <xf numFmtId="4" fontId="3" fillId="0" borderId="0" xfId="0" applyFont="1" applyAlignment="1">
      <alignment vertical="top" wrapText="1"/>
    </xf>
    <xf numFmtId="3" fontId="0" fillId="0" borderId="0" xfId="0" applyNumberFormat="1" applyBorder="1" applyAlignment="1" applyProtection="1">
      <alignment wrapText="1"/>
      <protection hidden="1"/>
    </xf>
    <xf numFmtId="2" fontId="0" fillId="0" borderId="0" xfId="0" applyNumberFormat="1" applyAlignment="1">
      <alignment/>
    </xf>
    <xf numFmtId="167" fontId="55" fillId="0" borderId="0" xfId="62" applyNumberFormat="1">
      <alignment/>
      <protection/>
    </xf>
    <xf numFmtId="4" fontId="46" fillId="0" borderId="11" xfId="0" applyFont="1" applyBorder="1" applyAlignment="1">
      <alignment wrapText="1"/>
    </xf>
    <xf numFmtId="3" fontId="58" fillId="0" borderId="27" xfId="0" applyNumberFormat="1" applyFont="1" applyBorder="1" applyAlignment="1">
      <alignment horizontal="center" vertical="center" wrapText="1" readingOrder="1"/>
    </xf>
    <xf numFmtId="4" fontId="7" fillId="0" borderId="0" xfId="0" applyFont="1" applyAlignment="1">
      <alignment/>
    </xf>
    <xf numFmtId="0" fontId="55" fillId="0" borderId="0" xfId="62" applyAlignment="1">
      <alignment horizontal="center"/>
      <protection/>
    </xf>
    <xf numFmtId="1" fontId="0" fillId="0" borderId="28" xfId="0" applyNumberFormat="1" applyBorder="1" applyAlignment="1">
      <alignment horizontal="center" vertical="center"/>
    </xf>
    <xf numFmtId="4" fontId="0" fillId="0" borderId="0" xfId="0" applyAlignment="1">
      <alignment horizontal="right" wrapText="1"/>
    </xf>
    <xf numFmtId="1" fontId="7" fillId="0" borderId="0" xfId="0" applyNumberFormat="1" applyFont="1" applyAlignment="1">
      <alignment horizontal="right"/>
    </xf>
    <xf numFmtId="4" fontId="46" fillId="0" borderId="0" xfId="0" applyFont="1" applyAlignment="1">
      <alignment/>
    </xf>
    <xf numFmtId="4" fontId="9" fillId="0" borderId="0" xfId="0" applyFont="1" applyAlignment="1">
      <alignment wrapText="1"/>
    </xf>
    <xf numFmtId="4" fontId="0" fillId="0" borderId="11" xfId="0" applyBorder="1" applyAlignment="1">
      <alignment horizontal="center" vertical="center"/>
    </xf>
    <xf numFmtId="4" fontId="3" fillId="0" borderId="17" xfId="0" applyFont="1" applyBorder="1" applyAlignment="1">
      <alignment vertical="top" wrapText="1"/>
    </xf>
    <xf numFmtId="165" fontId="0" fillId="0" borderId="29" xfId="0" applyNumberFormat="1" applyBorder="1" applyAlignment="1">
      <alignment horizontal="center" vertical="center"/>
    </xf>
    <xf numFmtId="4" fontId="0" fillId="0" borderId="12" xfId="0" applyBorder="1" applyAlignment="1">
      <alignment/>
    </xf>
    <xf numFmtId="4" fontId="0" fillId="0" borderId="20" xfId="0" applyFont="1" applyFill="1" applyBorder="1" applyAlignment="1" applyProtection="1">
      <alignment horizontal="center" vertical="center"/>
      <protection/>
    </xf>
    <xf numFmtId="4" fontId="59" fillId="0" borderId="0" xfId="0" applyFont="1" applyAlignment="1">
      <alignment wrapText="1"/>
    </xf>
    <xf numFmtId="4" fontId="0" fillId="24" borderId="20" xfId="0" applyFill="1" applyBorder="1" applyAlignment="1" applyProtection="1">
      <alignment horizontal="center" vertical="center"/>
      <protection/>
    </xf>
    <xf numFmtId="1" fontId="0" fillId="0" borderId="11" xfId="0" applyNumberFormat="1" applyBorder="1" applyAlignment="1">
      <alignment horizontal="center" vertical="center"/>
    </xf>
    <xf numFmtId="1" fontId="60" fillId="0" borderId="30" xfId="0" applyNumberFormat="1" applyFont="1" applyBorder="1" applyAlignment="1">
      <alignment vertical="top" wrapText="1"/>
    </xf>
    <xf numFmtId="164" fontId="0" fillId="0" borderId="0" xfId="0" applyNumberFormat="1" applyAlignment="1" applyProtection="1">
      <alignment wrapText="1"/>
      <protection hidden="1"/>
    </xf>
    <xf numFmtId="4" fontId="31" fillId="0" borderId="0" xfId="0" applyFont="1" applyAlignment="1">
      <alignment/>
    </xf>
    <xf numFmtId="165" fontId="0" fillId="0" borderId="30" xfId="0" applyNumberFormat="1" applyBorder="1" applyAlignment="1">
      <alignment horizontal="center" vertical="center"/>
    </xf>
    <xf numFmtId="4" fontId="43" fillId="0" borderId="0" xfId="0" applyFont="1" applyFill="1" applyBorder="1" applyAlignment="1">
      <alignment horizontal="center" vertical="top"/>
    </xf>
    <xf numFmtId="4" fontId="0" fillId="0" borderId="31" xfId="0" applyFont="1" applyFill="1" applyBorder="1" applyAlignment="1" applyProtection="1">
      <alignment horizontal="center" vertical="center"/>
      <protection/>
    </xf>
    <xf numFmtId="1" fontId="0" fillId="0" borderId="0" xfId="48" applyNumberFormat="1" applyFont="1" applyAlignment="1">
      <alignment/>
    </xf>
    <xf numFmtId="4" fontId="0" fillId="0" borderId="0" xfId="0" applyAlignment="1" applyProtection="1">
      <alignment wrapText="1"/>
      <protection locked="0"/>
    </xf>
    <xf numFmtId="4" fontId="40" fillId="0" borderId="26" xfId="0" applyFont="1" applyFill="1" applyBorder="1" applyAlignment="1">
      <alignment vertical="top" wrapText="1"/>
    </xf>
    <xf numFmtId="4" fontId="0" fillId="0" borderId="17" xfId="0" applyFill="1" applyBorder="1" applyAlignment="1" applyProtection="1">
      <alignment horizontal="right" vertical="center"/>
      <protection/>
    </xf>
    <xf numFmtId="4" fontId="0" fillId="0" borderId="0" xfId="0" applyAlignment="1" applyProtection="1">
      <alignment/>
      <protection hidden="1"/>
    </xf>
    <xf numFmtId="1" fontId="56" fillId="0" borderId="29" xfId="0" applyNumberFormat="1" applyFont="1" applyBorder="1" applyAlignment="1">
      <alignment horizontal="center" vertical="center"/>
    </xf>
    <xf numFmtId="0" fontId="61" fillId="0" borderId="0" xfId="62" applyFont="1">
      <alignment/>
      <protection/>
    </xf>
    <xf numFmtId="165" fontId="0" fillId="0" borderId="32" xfId="0" applyNumberFormat="1" applyBorder="1" applyAlignment="1">
      <alignment horizontal="center" vertical="center"/>
    </xf>
    <xf numFmtId="4" fontId="3" fillId="0" borderId="33" xfId="0" applyFont="1" applyFill="1" applyBorder="1" applyAlignment="1">
      <alignment horizontal="center" vertical="top" wrapText="1"/>
    </xf>
    <xf numFmtId="4" fontId="11" fillId="0" borderId="11" xfId="0" applyFont="1" applyBorder="1" applyAlignment="1">
      <alignment wrapText="1"/>
    </xf>
    <xf numFmtId="4" fontId="7" fillId="0" borderId="0" xfId="0" applyFont="1" applyAlignment="1">
      <alignment horizontal="center" vertical="center"/>
    </xf>
    <xf numFmtId="1" fontId="56" fillId="0" borderId="30" xfId="0" applyNumberFormat="1" applyFont="1" applyBorder="1" applyAlignment="1">
      <alignment horizontal="center" vertical="center"/>
    </xf>
    <xf numFmtId="4" fontId="28" fillId="0" borderId="0" xfId="0" applyFont="1" applyAlignment="1">
      <alignment/>
    </xf>
    <xf numFmtId="4" fontId="0" fillId="24" borderId="34" xfId="0" applyFont="1" applyFill="1" applyBorder="1" applyAlignment="1" applyProtection="1">
      <alignment horizontal="center" vertical="center"/>
      <protection/>
    </xf>
    <xf numFmtId="4" fontId="3" fillId="0" borderId="23" xfId="0" applyFont="1" applyBorder="1" applyAlignment="1">
      <alignment vertical="top" wrapText="1"/>
    </xf>
    <xf numFmtId="4" fontId="3" fillId="0" borderId="19" xfId="0" applyFont="1" applyBorder="1" applyAlignment="1" quotePrefix="1">
      <alignment horizontal="center" vertical="top" wrapText="1"/>
    </xf>
    <xf numFmtId="4" fontId="3" fillId="0" borderId="0" xfId="0" applyFont="1" applyBorder="1" applyAlignment="1">
      <alignment vertical="top" wrapText="1"/>
    </xf>
    <xf numFmtId="4" fontId="0" fillId="0" borderId="25" xfId="0" applyBorder="1" applyAlignment="1">
      <alignment/>
    </xf>
    <xf numFmtId="4" fontId="7" fillId="0" borderId="0" xfId="0" applyFont="1" applyAlignment="1" applyProtection="1">
      <alignment wrapText="1"/>
      <protection hidden="1"/>
    </xf>
    <xf numFmtId="4" fontId="0" fillId="24" borderId="17" xfId="0" applyFont="1" applyFill="1" applyBorder="1" applyAlignment="1" applyProtection="1">
      <alignment horizontal="center" vertical="center"/>
      <protection/>
    </xf>
    <xf numFmtId="4" fontId="3" fillId="0" borderId="0" xfId="0" applyFont="1" applyAlignment="1" applyProtection="1">
      <alignment horizontal="left" vertical="top"/>
      <protection locked="0"/>
    </xf>
    <xf numFmtId="4" fontId="11" fillId="0" borderId="35" xfId="0" applyFont="1" applyBorder="1" applyAlignment="1">
      <alignment/>
    </xf>
    <xf numFmtId="4" fontId="3" fillId="0" borderId="0" xfId="0" applyFont="1" applyFill="1" applyBorder="1" applyAlignment="1">
      <alignment vertical="center" wrapText="1"/>
    </xf>
    <xf numFmtId="4" fontId="0" fillId="0" borderId="0" xfId="0" applyFill="1" applyBorder="1" applyAlignment="1" applyProtection="1">
      <alignment wrapText="1"/>
      <protection hidden="1"/>
    </xf>
    <xf numFmtId="4" fontId="11" fillId="0" borderId="36" xfId="0" applyFont="1" applyBorder="1" applyAlignment="1">
      <alignment/>
    </xf>
    <xf numFmtId="4" fontId="42" fillId="0" borderId="37" xfId="0" applyFont="1" applyBorder="1" applyAlignment="1">
      <alignment/>
    </xf>
    <xf numFmtId="1" fontId="56" fillId="0" borderId="32" xfId="0" applyNumberFormat="1" applyFont="1" applyBorder="1" applyAlignment="1">
      <alignment horizontal="center" vertical="center"/>
    </xf>
    <xf numFmtId="4" fontId="52" fillId="0" borderId="0" xfId="0" applyFont="1" applyAlignment="1">
      <alignment/>
    </xf>
    <xf numFmtId="4" fontId="10" fillId="0" borderId="19" xfId="0" applyFont="1" applyBorder="1" applyAlignment="1">
      <alignment horizontal="center" vertical="top" wrapText="1"/>
    </xf>
    <xf numFmtId="4" fontId="49" fillId="0" borderId="0" xfId="0" applyFont="1" applyAlignment="1">
      <alignment horizontal="left" wrapText="1"/>
    </xf>
    <xf numFmtId="4" fontId="8" fillId="0" borderId="0" xfId="0" applyFont="1" applyBorder="1" applyAlignment="1">
      <alignment/>
    </xf>
    <xf numFmtId="4" fontId="0" fillId="0" borderId="29" xfId="0" applyBorder="1" applyAlignment="1">
      <alignment horizontal="center" vertical="center"/>
    </xf>
    <xf numFmtId="4" fontId="7" fillId="0" borderId="0" xfId="0" applyFont="1" applyBorder="1" applyAlignment="1">
      <alignment/>
    </xf>
    <xf numFmtId="4" fontId="0" fillId="0" borderId="38" xfId="0" applyBorder="1" applyAlignment="1">
      <alignment wrapText="1"/>
    </xf>
    <xf numFmtId="165" fontId="0" fillId="0" borderId="0" xfId="0" applyNumberFormat="1" applyBorder="1" applyAlignment="1">
      <alignment horizontal="center" vertical="center"/>
    </xf>
    <xf numFmtId="1" fontId="3" fillId="0" borderId="30" xfId="0" applyNumberFormat="1" applyFont="1" applyBorder="1" applyAlignment="1">
      <alignment vertical="top" wrapText="1"/>
    </xf>
    <xf numFmtId="4" fontId="7" fillId="0" borderId="24" xfId="0" applyFont="1" applyBorder="1" applyAlignment="1">
      <alignment/>
    </xf>
    <xf numFmtId="4" fontId="0" fillId="0" borderId="0" xfId="0" applyAlignment="1">
      <alignment horizontal="right"/>
    </xf>
    <xf numFmtId="4" fontId="33" fillId="0" borderId="0" xfId="0" applyFont="1" applyFill="1" applyBorder="1" applyAlignment="1">
      <alignment horizontal="left" vertical="top"/>
    </xf>
    <xf numFmtId="4" fontId="0" fillId="0" borderId="36" xfId="0" applyBorder="1" applyAlignment="1">
      <alignment/>
    </xf>
    <xf numFmtId="4" fontId="62" fillId="0" borderId="39" xfId="0" applyFont="1" applyBorder="1" applyAlignment="1">
      <alignment horizontal="left" vertical="center" wrapText="1" indent="1"/>
    </xf>
    <xf numFmtId="4" fontId="11" fillId="0" borderId="0" xfId="0" applyFont="1" applyAlignment="1">
      <alignment wrapText="1"/>
    </xf>
    <xf numFmtId="4" fontId="3" fillId="0" borderId="33" xfId="0" applyFont="1" applyBorder="1" applyAlignment="1">
      <alignment horizontal="centerContinuous" vertical="top" wrapText="1"/>
    </xf>
    <xf numFmtId="4" fontId="3" fillId="0" borderId="19" xfId="0" applyFont="1" applyFill="1" applyBorder="1" applyAlignment="1">
      <alignment horizontal="center" vertical="top" wrapText="1"/>
    </xf>
    <xf numFmtId="4" fontId="0" fillId="8" borderId="0" xfId="0" applyFill="1" applyAlignment="1">
      <alignment vertical="top" wrapText="1"/>
    </xf>
    <xf numFmtId="4" fontId="11" fillId="0" borderId="29" xfId="0" applyFont="1" applyBorder="1" applyAlignment="1">
      <alignment wrapText="1"/>
    </xf>
    <xf numFmtId="4" fontId="55" fillId="0" borderId="0" xfId="62" applyNumberFormat="1">
      <alignment/>
      <protection/>
    </xf>
    <xf numFmtId="4" fontId="0" fillId="0" borderId="0" xfId="0" applyAlignment="1" applyProtection="1">
      <alignment vertical="center"/>
      <protection/>
    </xf>
    <xf numFmtId="4" fontId="46" fillId="0" borderId="0" xfId="0" applyFont="1" applyAlignment="1">
      <alignment wrapText="1"/>
    </xf>
    <xf numFmtId="4" fontId="63" fillId="0" borderId="0" xfId="0" applyFont="1" applyAlignment="1">
      <alignment/>
    </xf>
    <xf numFmtId="4" fontId="24" fillId="0" borderId="17" xfId="0" applyFont="1" applyBorder="1" applyAlignment="1">
      <alignment vertical="center" wrapText="1"/>
    </xf>
    <xf numFmtId="4" fontId="0" fillId="0" borderId="32" xfId="0" applyBorder="1" applyAlignment="1">
      <alignment/>
    </xf>
    <xf numFmtId="4" fontId="22" fillId="0" borderId="0" xfId="0" applyFont="1" applyAlignment="1">
      <alignment/>
    </xf>
    <xf numFmtId="4" fontId="16" fillId="0" borderId="0" xfId="0" applyFont="1" applyAlignment="1">
      <alignment/>
    </xf>
    <xf numFmtId="4" fontId="0" fillId="0" borderId="0" xfId="0" applyAlignment="1">
      <alignment horizontal="left"/>
    </xf>
    <xf numFmtId="4" fontId="40" fillId="0" borderId="0" xfId="0" applyFont="1" applyAlignment="1">
      <alignment vertical="center" wrapText="1"/>
    </xf>
    <xf numFmtId="4" fontId="3" fillId="0" borderId="40" xfId="0" applyFont="1" applyBorder="1" applyAlignment="1">
      <alignment vertical="top" wrapText="1"/>
    </xf>
    <xf numFmtId="4" fontId="7" fillId="0" borderId="0" xfId="0" applyFont="1" applyBorder="1" applyAlignment="1">
      <alignment horizontal="right" vertical="center" wrapText="1"/>
    </xf>
    <xf numFmtId="164" fontId="46" fillId="0" borderId="0" xfId="0" applyNumberFormat="1" applyFont="1" applyAlignment="1" applyProtection="1">
      <alignment/>
      <protection hidden="1"/>
    </xf>
    <xf numFmtId="4" fontId="7" fillId="0" borderId="0" xfId="0" applyFont="1" applyBorder="1" applyAlignment="1" applyProtection="1">
      <alignment wrapText="1"/>
      <protection hidden="1"/>
    </xf>
    <xf numFmtId="0" fontId="55" fillId="0" borderId="0" xfId="62" applyFont="1">
      <alignment/>
      <protection/>
    </xf>
    <xf numFmtId="4" fontId="0" fillId="8" borderId="0" xfId="0" applyFill="1" applyAlignment="1" applyProtection="1">
      <alignment horizontal="left"/>
      <protection locked="0"/>
    </xf>
    <xf numFmtId="4" fontId="0" fillId="24" borderId="34" xfId="0" applyFill="1" applyBorder="1" applyAlignment="1" applyProtection="1">
      <alignment horizontal="center" vertical="center"/>
      <protection/>
    </xf>
    <xf numFmtId="4" fontId="0" fillId="0" borderId="0" xfId="0" applyAlignment="1" applyProtection="1">
      <alignment wrapText="1"/>
      <protection hidden="1"/>
    </xf>
    <xf numFmtId="4" fontId="33" fillId="0" borderId="0" xfId="0" applyFont="1" applyFill="1" applyBorder="1" applyAlignment="1">
      <alignment vertical="top" wrapText="1"/>
    </xf>
    <xf numFmtId="4" fontId="3" fillId="0" borderId="0" xfId="0" applyFont="1" applyAlignment="1" applyProtection="1">
      <alignment horizontal="center" vertical="top" wrapText="1"/>
      <protection locked="0"/>
    </xf>
    <xf numFmtId="4" fontId="0" fillId="0" borderId="41" xfId="0" applyBorder="1" applyAlignment="1">
      <alignment/>
    </xf>
    <xf numFmtId="1" fontId="0" fillId="0" borderId="29" xfId="0" applyNumberFormat="1" applyBorder="1" applyAlignment="1">
      <alignment horizontal="center" vertical="center"/>
    </xf>
    <xf numFmtId="4" fontId="0" fillId="0" borderId="0" xfId="33" applyNumberFormat="1" applyFont="1" applyBorder="1" applyAlignment="1">
      <alignment/>
    </xf>
    <xf numFmtId="3" fontId="0" fillId="0" borderId="0" xfId="0" applyNumberFormat="1" applyAlignment="1">
      <alignment/>
    </xf>
    <xf numFmtId="1" fontId="3" fillId="0" borderId="0" xfId="0" applyNumberFormat="1" applyFont="1" applyAlignment="1">
      <alignment horizontal="left" vertical="top" wrapText="1"/>
    </xf>
    <xf numFmtId="4" fontId="0" fillId="0" borderId="11" xfId="0" applyBorder="1" applyAlignment="1">
      <alignment/>
    </xf>
    <xf numFmtId="4" fontId="49" fillId="0" borderId="0" xfId="0" applyFont="1" applyAlignment="1">
      <alignment horizontal="left"/>
    </xf>
    <xf numFmtId="4" fontId="0" fillId="0" borderId="17" xfId="0" applyFont="1" applyFill="1" applyBorder="1" applyAlignment="1" applyProtection="1">
      <alignment horizontal="center" vertical="center"/>
      <protection/>
    </xf>
    <xf numFmtId="4" fontId="3" fillId="8" borderId="0" xfId="0" applyFont="1" applyFill="1" applyAlignment="1" applyProtection="1">
      <alignment horizontal="left" vertical="top" wrapText="1"/>
      <protection locked="0"/>
    </xf>
    <xf numFmtId="4" fontId="3" fillId="0" borderId="17" xfId="0" applyFont="1" applyBorder="1" applyAlignment="1" applyProtection="1">
      <alignment vertical="top" wrapText="1"/>
      <protection locked="0"/>
    </xf>
    <xf numFmtId="1" fontId="0" fillId="0" borderId="30" xfId="0" applyNumberFormat="1" applyBorder="1" applyAlignment="1">
      <alignment horizontal="center" vertical="center"/>
    </xf>
    <xf numFmtId="4" fontId="0" fillId="0" borderId="0" xfId="0" applyBorder="1" applyAlignment="1">
      <alignment/>
    </xf>
    <xf numFmtId="0" fontId="55" fillId="0" borderId="0" xfId="62">
      <alignment/>
      <protection/>
    </xf>
    <xf numFmtId="1" fontId="3" fillId="0" borderId="16" xfId="0" applyNumberFormat="1" applyFont="1" applyBorder="1" applyAlignment="1">
      <alignment vertical="top" wrapText="1"/>
    </xf>
    <xf numFmtId="4" fontId="7" fillId="0" borderId="30" xfId="0" applyFont="1" applyBorder="1" applyAlignment="1">
      <alignment horizontal="center"/>
    </xf>
    <xf numFmtId="4" fontId="3" fillId="0" borderId="42" xfId="0" applyFont="1" applyBorder="1" applyAlignment="1">
      <alignment vertical="top" wrapText="1"/>
    </xf>
    <xf numFmtId="4" fontId="49" fillId="0" borderId="0" xfId="0" applyFont="1" applyAlignment="1">
      <alignment/>
    </xf>
    <xf numFmtId="4" fontId="7" fillId="0" borderId="0" xfId="0" applyFont="1" applyAlignment="1" applyProtection="1">
      <alignment horizontal="right" wrapText="1"/>
      <protection hidden="1"/>
    </xf>
    <xf numFmtId="4" fontId="35" fillId="0" borderId="0" xfId="0" applyFont="1" applyAlignment="1">
      <alignment/>
    </xf>
    <xf numFmtId="1" fontId="0" fillId="0" borderId="32" xfId="0" applyNumberFormat="1" applyBorder="1" applyAlignment="1">
      <alignment horizontal="center" vertical="center"/>
    </xf>
    <xf numFmtId="4" fontId="0" fillId="0" borderId="0" xfId="0" applyAlignment="1">
      <alignment vertical="center"/>
    </xf>
    <xf numFmtId="1" fontId="60" fillId="0" borderId="11" xfId="0" applyNumberFormat="1" applyFont="1" applyBorder="1" applyAlignment="1">
      <alignment vertical="top" wrapText="1"/>
    </xf>
    <xf numFmtId="4" fontId="46" fillId="0" borderId="43" xfId="0" applyFont="1" applyFill="1" applyBorder="1" applyAlignment="1" applyProtection="1">
      <alignment horizontal="center"/>
      <protection hidden="1"/>
    </xf>
    <xf numFmtId="4" fontId="3" fillId="0" borderId="44" xfId="0" applyFont="1" applyBorder="1" applyAlignment="1" applyProtection="1">
      <alignment horizontal="left" vertical="top" wrapText="1"/>
      <protection locked="0"/>
    </xf>
    <xf numFmtId="3" fontId="63" fillId="0" borderId="0" xfId="0" applyNumberFormat="1" applyFont="1" applyAlignment="1">
      <alignment/>
    </xf>
    <xf numFmtId="4" fontId="0" fillId="0" borderId="17" xfId="0" applyBorder="1" applyAlignment="1" applyProtection="1">
      <alignment horizontal="right" vertical="center"/>
      <protection/>
    </xf>
    <xf numFmtId="4" fontId="7" fillId="0" borderId="0" xfId="0" applyFont="1" applyBorder="1" applyAlignment="1" quotePrefix="1">
      <alignment/>
    </xf>
    <xf numFmtId="4" fontId="46" fillId="0" borderId="0" xfId="0" applyFont="1" applyBorder="1" applyAlignment="1">
      <alignment wrapText="1"/>
    </xf>
    <xf numFmtId="164" fontId="24" fillId="0" borderId="17" xfId="33" applyNumberFormat="1" applyFont="1" applyBorder="1" applyAlignment="1" applyProtection="1">
      <alignment horizontal="center" vertical="center" wrapText="1"/>
      <protection/>
    </xf>
    <xf numFmtId="4" fontId="0" fillId="0" borderId="0" xfId="0" applyAlignment="1">
      <alignment wrapText="1"/>
    </xf>
    <xf numFmtId="0" fontId="3" fillId="0" borderId="19" xfId="33" applyFont="1" applyBorder="1" applyAlignment="1">
      <alignment horizontal="center" vertical="top" wrapText="1"/>
    </xf>
    <xf numFmtId="4" fontId="46" fillId="0" borderId="0" xfId="0" applyFont="1" applyAlignment="1" applyProtection="1">
      <alignment/>
      <protection hidden="1"/>
    </xf>
    <xf numFmtId="4" fontId="0" fillId="0" borderId="0" xfId="0" applyAlignment="1" quotePrefix="1">
      <alignment/>
    </xf>
    <xf numFmtId="4" fontId="3" fillId="0" borderId="0" xfId="0" applyFont="1" applyAlignment="1" applyProtection="1">
      <alignment vertical="top" wrapText="1"/>
      <protection locked="0"/>
    </xf>
    <xf numFmtId="4" fontId="0" fillId="0" borderId="0" xfId="0" applyAlignment="1">
      <alignment horizontal="left" vertical="center" wrapText="1" indent="1"/>
    </xf>
    <xf numFmtId="4" fontId="15" fillId="0" borderId="0" xfId="0" applyFont="1" applyAlignment="1" applyProtection="1">
      <alignment wrapText="1"/>
      <protection hidden="1"/>
    </xf>
    <xf numFmtId="4" fontId="3" fillId="0" borderId="26" xfId="0" applyFont="1" applyBorder="1" applyAlignment="1">
      <alignment vertical="top" wrapText="1"/>
    </xf>
    <xf numFmtId="9" fontId="0" fillId="0" borderId="0" xfId="48" applyFont="1" applyAlignment="1">
      <alignment/>
    </xf>
    <xf numFmtId="0" fontId="49" fillId="0" borderId="0" xfId="0" applyNumberFormat="1" applyFont="1" applyAlignment="1">
      <alignment/>
    </xf>
    <xf numFmtId="4" fontId="16" fillId="0" borderId="0" xfId="0" applyFont="1" applyBorder="1" applyAlignment="1">
      <alignment/>
    </xf>
    <xf numFmtId="4" fontId="9" fillId="0" borderId="0" xfId="0" applyFont="1" applyAlignment="1">
      <alignment/>
    </xf>
  </cellXfs>
  <cellStyles count="53">
    <cellStyle name="Normal" xfId="0"/>
    <cellStyle name="Heading 3" xfId="15"/>
    <cellStyle name="Input" xfId="16"/>
    <cellStyle name="40% - Accent6" xfId="17"/>
    <cellStyle name="Accent2" xfId="18"/>
    <cellStyle name="40% - Accent2" xfId="19"/>
    <cellStyle name="Bad" xfId="20"/>
    <cellStyle name="20% - Accent1" xfId="21"/>
    <cellStyle name="20% - Accent5" xfId="22"/>
    <cellStyle name="Normal 5" xfId="23"/>
    <cellStyle name="40% - Accent5" xfId="24"/>
    <cellStyle name="Title" xfId="25"/>
    <cellStyle name="60% - Accent2" xfId="26"/>
    <cellStyle name="Warning Text" xfId="27"/>
    <cellStyle name="Heading 2" xfId="28"/>
    <cellStyle name="Accent1" xfId="29"/>
    <cellStyle name="60% - Accent3" xfId="30"/>
    <cellStyle name="20% - Accent4" xfId="31"/>
    <cellStyle name="Accent6" xfId="32"/>
    <cellStyle name="entry" xfId="33"/>
    <cellStyle name="Normal 2" xfId="34"/>
    <cellStyle name="Calculation" xfId="35"/>
    <cellStyle name="40% - Accent4" xfId="36"/>
    <cellStyle name="Currency" xfId="37"/>
    <cellStyle name="Accent3" xfId="38"/>
    <cellStyle name="Accent5" xfId="39"/>
    <cellStyle name="20% - Accent6" xfId="40"/>
    <cellStyle name="60% - Accent4" xfId="41"/>
    <cellStyle name="Check Cell" xfId="42"/>
    <cellStyle name="Note" xfId="43"/>
    <cellStyle name="60% - Accent6" xfId="44"/>
    <cellStyle name="Comma [0]" xfId="45"/>
    <cellStyle name="Comma" xfId="46"/>
    <cellStyle name="60% - Accent1" xfId="47"/>
    <cellStyle name="Percent 2" xfId="48"/>
    <cellStyle name="20% - Accent3" xfId="49"/>
    <cellStyle name="20% - Accent2" xfId="50"/>
    <cellStyle name="60% - Accent5" xfId="51"/>
    <cellStyle name="Accent4" xfId="52"/>
    <cellStyle name="40% - Accent3" xfId="53"/>
    <cellStyle name="Heading 4" xfId="54"/>
    <cellStyle name="Currency [0]" xfId="55"/>
    <cellStyle name="Good" xfId="56"/>
    <cellStyle name="Explanatory Text" xfId="57"/>
    <cellStyle name="Heading 1" xfId="58"/>
    <cellStyle name="Neutral" xfId="59"/>
    <cellStyle name="Output" xfId="60"/>
    <cellStyle name="Linked Cell" xfId="61"/>
    <cellStyle name="Normal 3" xfId="62"/>
    <cellStyle name="Normal 4" xfId="63"/>
    <cellStyle name="Total" xfId="64"/>
    <cellStyle name="Percent" xfId="65"/>
    <cellStyle name="40% - Accent1" xfId="66"/>
  </cellStyles>
  <dxfs count="4">
    <dxf>
      <font>
        <b/>
        <i val="0"/>
        <u val="none"/>
        <strike val="0"/>
        <color rgb="FFFF0000"/>
      </font>
      <border/>
    </dxf>
    <dxf>
      <font>
        <b val="0"/>
        <i val="0"/>
        <color rgb="FF000000"/>
      </font>
      <border/>
    </dxf>
    <dxf>
      <font>
        <color rgb="FF808080"/>
      </font>
      <border/>
    </dxf>
    <dxf>
      <font>
        <b/>
        <i/>
        <color rgb="FFFF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80" b="1" i="0" u="none" baseline="0"/>
              <a:t>Comparison to RRI </a:t>
            </a:r>
            <a:r>
              <a:rPr lang="en-US" cap="none" sz="1680" b="1" i="0" u="none" baseline="0">
                <a:solidFill>
                  <a:srgbClr val="000000"/>
                </a:solidFill>
              </a:rPr>
              <a:t>Range  for Hispanic Youth, All Reporting Counties</a:t>
            </a:r>
          </a:p>
        </c:rich>
      </c:tx>
      <c:layout/>
      <c:spPr>
        <a:noFill/>
        <a:ln>
          <a:noFill/>
        </a:ln>
      </c:spPr>
    </c:title>
    <c:plotArea>
      <c:layout/>
      <c:lineChart>
        <c:grouping val="standard"/>
        <c:varyColors val="0"/>
        <c:ser>
          <c:idx val="0"/>
          <c:order val="0"/>
          <c:tx>
            <c:v>75th percentile</c:v>
          </c:tx>
          <c:spPr>
            <a:ln w="25400">
              <a:noFill/>
            </a:ln>
          </c:spPr>
          <c:extLst>
            <c:ext xmlns:c14="http://schemas.microsoft.com/office/drawing/2007/8/2/chart" uri="{6F2FDCE9-48DA-4B69-8628-5D25D57E5C99}">
              <c14:invertSolidFillFmt>
                <c14:spPr>
                  <a:solidFill>
                    <a:srgbClr val="000000"/>
                  </a:solidFill>
                </c14:spPr>
              </c14:invertSolidFillFmt>
            </c:ext>
          </c:extLst>
          <c:marker>
            <c:symbol val="dash"/>
            <c:size val="8"/>
            <c:spPr>
              <a:solidFill>
                <a:srgbClr val="FF0000"/>
              </a:solidFill>
              <a:ln>
                <a:solidFill>
                  <a:srgbClr val="FF0000"/>
                </a:solidFill>
              </a:ln>
            </c:spPr>
          </c:marker>
          <c:val>
            <c:numRef>
              <c:f>'compare counties'!$L$167:$T$167</c:f>
              <c:numCache/>
            </c:numRef>
          </c:val>
          <c:smooth val="0"/>
        </c:ser>
        <c:ser>
          <c:idx val="1"/>
          <c:order val="1"/>
          <c:tx>
            <c:v>25th percentile</c:v>
          </c:tx>
          <c:spPr>
            <a:ln w="25400">
              <a:noFill/>
            </a:ln>
          </c:spPr>
          <c:extLst>
            <c:ext xmlns:c14="http://schemas.microsoft.com/office/drawing/2007/8/2/chart" uri="{6F2FDCE9-48DA-4B69-8628-5D25D57E5C99}">
              <c14:invertSolidFillFmt>
                <c14:spPr>
                  <a:solidFill>
                    <a:srgbClr val="000000"/>
                  </a:solidFill>
                </c14:spPr>
              </c14:invertSolidFillFmt>
            </c:ext>
          </c:extLst>
          <c:marker>
            <c:symbol val="dash"/>
            <c:size val="10"/>
            <c:spPr>
              <a:solidFill>
                <a:srgbClr val="0066CC"/>
              </a:solidFill>
              <a:ln>
                <a:solidFill>
                  <a:srgbClr val="0066CC"/>
                </a:solidFill>
              </a:ln>
            </c:spPr>
          </c:marker>
          <c:val>
            <c:numRef>
              <c:f>'compare counties'!$L$168:$T$168</c:f>
              <c:numCache/>
            </c:numRef>
          </c:val>
          <c:smooth val="0"/>
        </c:ser>
        <c:ser>
          <c:idx val="2"/>
          <c:order val="2"/>
          <c:tx>
            <c:v>Median</c:v>
          </c:tx>
          <c:spPr>
            <a:ln w="25400">
              <a:no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969696"/>
              </a:solidFill>
              <a:ln>
                <a:solidFill>
                  <a:srgbClr val="969696"/>
                </a:solidFill>
              </a:ln>
            </c:spPr>
          </c:marker>
          <c:val>
            <c:numRef>
              <c:f>'compare counties'!$L$169:$T$169</c:f>
              <c:numCache/>
            </c:numRef>
          </c:val>
          <c:smooth val="0"/>
        </c:ser>
        <c:ser>
          <c:idx val="3"/>
          <c:order val="3"/>
          <c:tx>
            <c:strRef>
              <c:f>'compare counties'!$A$163</c:f>
              <c:strCache>
                <c:ptCount val="1"/>
                <c:pt idx="0">
                  <c:v>County : Statewide</c:v>
                </c:pt>
              </c:strCache>
            </c:strRef>
          </c:tx>
          <c:spPr>
            <a:ln w="25400">
              <a:noFill/>
            </a:ln>
          </c:spPr>
          <c:extLst>
            <c:ext xmlns:c14="http://schemas.microsoft.com/office/drawing/2007/8/2/chart" uri="{6F2FDCE9-48DA-4B69-8628-5D25D57E5C99}">
              <c14:invertSolidFillFmt>
                <c14:spPr>
                  <a:solidFill>
                    <a:srgbClr val="000000"/>
                  </a:solidFill>
                </c14:spPr>
              </c14:invertSolidFillFmt>
            </c:ext>
          </c:extLst>
          <c:marker>
            <c:symbol val="star"/>
            <c:size val="10"/>
            <c:spPr>
              <a:noFill/>
              <a:ln>
                <a:solidFill>
                  <a:srgbClr val="FFCC00"/>
                </a:solidFill>
              </a:ln>
            </c:spPr>
          </c:marker>
          <c:val>
            <c:numRef>
              <c:f>'compare counties'!$L$170:$T$170</c:f>
              <c:numCache/>
            </c:numRef>
          </c:val>
          <c:smooth val="0"/>
        </c:ser>
        <c:hiLowLines>
          <c:spPr>
            <a:ln w="12700">
              <a:solidFill>
                <a:srgbClr val="99CCFF"/>
              </a:solidFill>
            </a:ln>
          </c:spPr>
        </c:hiLowLines>
        <c:marker val="1"/>
        <c:axId val="55425625"/>
        <c:axId val="29068578"/>
      </c:lineChart>
      <c:catAx>
        <c:axId val="55425625"/>
        <c:scaling>
          <c:orientation val="minMax"/>
        </c:scaling>
        <c:axPos val="b"/>
        <c:delete val="0"/>
        <c:numFmt formatCode="General" sourceLinked="1"/>
        <c:majorTickMark val="none"/>
        <c:minorTickMark val="none"/>
        <c:tickLblPos val="nextTo"/>
        <c:spPr>
          <a:ln w="12700">
            <a:noFill/>
          </a:ln>
        </c:spPr>
        <c:crossAx val="29068578"/>
        <c:crosses val="autoZero"/>
        <c:auto val="0"/>
        <c:lblOffset val="100"/>
        <c:noMultiLvlLbl val="0"/>
      </c:catAx>
      <c:valAx>
        <c:axId val="29068578"/>
        <c:scaling>
          <c:orientation val="minMax"/>
          <c:max val="6"/>
          <c:min val="0"/>
        </c:scaling>
        <c:axPos val="l"/>
        <c:title>
          <c:tx>
            <c:rich>
              <a:bodyPr vert="horz" rot="-5400000" anchor="ctr"/>
              <a:lstStyle/>
              <a:p>
                <a:pPr algn="ctr">
                  <a:defRPr/>
                </a:pPr>
                <a:r>
                  <a:rPr lang="en-US" cap="none" sz="1400" b="1" i="0" u="none" baseline="0">
                    <a:solidFill>
                      <a:srgbClr val="000000"/>
                    </a:solidFill>
                  </a:rPr>
                  <a:t>RRI Values</a:t>
                </a:r>
              </a:p>
            </c:rich>
          </c:tx>
          <c:layout/>
          <c:overlay val="0"/>
          <c:spPr>
            <a:noFill/>
            <a:ln>
              <a:noFill/>
            </a:ln>
          </c:spPr>
        </c:title>
        <c:majorGridlines>
          <c:spPr>
            <a:ln w="12700">
              <a:solidFill>
                <a:srgbClr val="000000"/>
              </a:solidFill>
            </a:ln>
          </c:spPr>
        </c:majorGridlines>
        <c:delete val="0"/>
        <c:numFmt formatCode="General" sourceLinked="1"/>
        <c:majorTickMark val="none"/>
        <c:minorTickMark val="none"/>
        <c:tickLblPos val="nextTo"/>
        <c:spPr>
          <a:ln w="12700">
            <a:noFill/>
          </a:ln>
        </c:spPr>
        <c:crossAx val="55425625"/>
        <c:crosses val="autoZero"/>
        <c:crossBetween val="between"/>
        <c:dispUnits/>
      </c:valAx>
      <c:dTable>
        <c:showHorzBorder val="1"/>
        <c:showVertBorder val="1"/>
        <c:showOutline val="1"/>
        <c:showKeys val="1"/>
        <c:spPr>
          <a:ln w="12700">
            <a:solidFill>
              <a:srgbClr val="000000"/>
            </a:solidFill>
          </a:ln>
        </c:spPr>
        <c:txPr>
          <a:bodyPr vert="horz" rot="0"/>
          <a:lstStyle/>
          <a:p>
            <a:pPr>
              <a:defRPr lang="en-US" cap="none" sz="1000" b="1" i="0" u="none" baseline="0">
                <a:solidFill>
                  <a:srgbClr val="000000"/>
                </a:solidFill>
              </a:defRPr>
            </a:pPr>
          </a:p>
        </c:txPr>
      </c:dTable>
      <c:spPr>
        <a:ln w="3175">
          <a:noFill/>
        </a:ln>
      </c:spPr>
    </c:plotArea>
    <c:plotVisOnly val="1"/>
    <c:dispBlanksAs val="gap"/>
    <c:showDLblsOverMax val="0"/>
  </c:chart>
  <c:spPr>
    <a:ln w="12700">
      <a:solidFill>
        <a:srgbClr val="000000"/>
      </a:solidFill>
    </a:ln>
  </c:spPr>
  <c:txPr>
    <a:bodyPr vert="horz" rot="0"/>
    <a:lstStyle/>
    <a:p>
      <a:pPr>
        <a:defRPr lang="en-US" cap="none" sz="1400" b="1"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80" b="1" i="0" u="none" baseline="0"/>
              <a:t>Comparison to RRI </a:t>
            </a:r>
            <a:r>
              <a:rPr lang="en-US" cap="none" sz="1680" b="1" i="0" u="none" baseline="0">
                <a:solidFill>
                  <a:srgbClr val="000000"/>
                </a:solidFill>
              </a:rPr>
              <a:t>Range for Asian Youth, All Reporting Counties</a:t>
            </a:r>
          </a:p>
        </c:rich>
      </c:tx>
      <c:layout/>
      <c:spPr>
        <a:noFill/>
        <a:ln>
          <a:noFill/>
        </a:ln>
      </c:spPr>
    </c:title>
    <c:plotArea>
      <c:layout/>
      <c:lineChart>
        <c:grouping val="standard"/>
        <c:varyColors val="0"/>
        <c:ser>
          <c:idx val="0"/>
          <c:order val="0"/>
          <c:tx>
            <c:v>75th percentile</c:v>
          </c:tx>
          <c:spPr>
            <a:ln w="25400">
              <a:noFill/>
            </a:ln>
          </c:spPr>
          <c:extLst>
            <c:ext xmlns:c14="http://schemas.microsoft.com/office/drawing/2007/8/2/chart" uri="{6F2FDCE9-48DA-4B69-8628-5D25D57E5C99}">
              <c14:invertSolidFillFmt>
                <c14:spPr>
                  <a:solidFill>
                    <a:srgbClr val="000000"/>
                  </a:solidFill>
                </c14:spPr>
              </c14:invertSolidFillFmt>
            </c:ext>
          </c:extLst>
          <c:marker>
            <c:symbol val="dash"/>
            <c:size val="8"/>
            <c:spPr>
              <a:solidFill>
                <a:srgbClr val="FF0000"/>
              </a:solidFill>
              <a:ln>
                <a:solidFill>
                  <a:srgbClr val="FF0000"/>
                </a:solidFill>
              </a:ln>
            </c:spPr>
          </c:marker>
          <c:val>
            <c:numRef>
              <c:f>'compare States'!$U$190:$AC$190</c:f>
              <c:numCache/>
            </c:numRef>
          </c:val>
          <c:smooth val="0"/>
        </c:ser>
        <c:ser>
          <c:idx val="1"/>
          <c:order val="1"/>
          <c:tx>
            <c:v>25th percentile</c:v>
          </c:tx>
          <c:spPr>
            <a:ln w="25400">
              <a:noFill/>
            </a:ln>
          </c:spPr>
          <c:extLst>
            <c:ext xmlns:c14="http://schemas.microsoft.com/office/drawing/2007/8/2/chart" uri="{6F2FDCE9-48DA-4B69-8628-5D25D57E5C99}">
              <c14:invertSolidFillFmt>
                <c14:spPr>
                  <a:solidFill>
                    <a:srgbClr val="000000"/>
                  </a:solidFill>
                </c14:spPr>
              </c14:invertSolidFillFmt>
            </c:ext>
          </c:extLst>
          <c:marker>
            <c:symbol val="dash"/>
            <c:size val="10"/>
            <c:spPr>
              <a:solidFill>
                <a:srgbClr val="0066CC"/>
              </a:solidFill>
              <a:ln>
                <a:solidFill>
                  <a:srgbClr val="0066CC"/>
                </a:solidFill>
              </a:ln>
            </c:spPr>
          </c:marker>
          <c:val>
            <c:numRef>
              <c:f>'compare States'!$U$191:$AC$191</c:f>
              <c:numCache/>
            </c:numRef>
          </c:val>
          <c:smooth val="0"/>
        </c:ser>
        <c:ser>
          <c:idx val="2"/>
          <c:order val="2"/>
          <c:tx>
            <c:v>Median</c:v>
          </c:tx>
          <c:spPr>
            <a:ln w="25400">
              <a:no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969696"/>
              </a:solidFill>
              <a:ln>
                <a:solidFill>
                  <a:srgbClr val="969696"/>
                </a:solidFill>
              </a:ln>
            </c:spPr>
          </c:marker>
          <c:val>
            <c:numRef>
              <c:f>'compare States'!$U$192:$AC$192</c:f>
              <c:numCache/>
            </c:numRef>
          </c:val>
          <c:smooth val="0"/>
        </c:ser>
        <c:ser>
          <c:idx val="3"/>
          <c:order val="3"/>
          <c:tx>
            <c:strRef>
              <c:f>'compare States'!$A$186</c:f>
              <c:strCache>
                <c:ptCount val="1"/>
                <c:pt idx="0">
                  <c:v>State : Virginia</c:v>
                </c:pt>
              </c:strCache>
            </c:strRef>
          </c:tx>
          <c:spPr>
            <a:ln w="25400">
              <a:noFill/>
            </a:ln>
          </c:spPr>
          <c:extLst>
            <c:ext xmlns:c14="http://schemas.microsoft.com/office/drawing/2007/8/2/chart" uri="{6F2FDCE9-48DA-4B69-8628-5D25D57E5C99}">
              <c14:invertSolidFillFmt>
                <c14:spPr>
                  <a:solidFill>
                    <a:srgbClr val="000000"/>
                  </a:solidFill>
                </c14:spPr>
              </c14:invertSolidFillFmt>
            </c:ext>
          </c:extLst>
          <c:marker>
            <c:symbol val="star"/>
            <c:size val="10"/>
            <c:spPr>
              <a:noFill/>
              <a:ln>
                <a:solidFill>
                  <a:srgbClr val="FFCC00"/>
                </a:solidFill>
              </a:ln>
            </c:spPr>
          </c:marker>
          <c:val>
            <c:numRef>
              <c:f>'compare States'!$U$193:$AC$193</c:f>
              <c:numCache/>
            </c:numRef>
          </c:val>
          <c:smooth val="0"/>
        </c:ser>
        <c:hiLowLines>
          <c:spPr>
            <a:ln w="12700">
              <a:solidFill>
                <a:srgbClr val="99CCFF"/>
              </a:solidFill>
            </a:ln>
          </c:spPr>
        </c:hiLowLines>
        <c:marker val="1"/>
        <c:axId val="24195459"/>
        <c:axId val="16432540"/>
      </c:lineChart>
      <c:catAx>
        <c:axId val="24195459"/>
        <c:scaling>
          <c:orientation val="minMax"/>
        </c:scaling>
        <c:axPos val="b"/>
        <c:delete val="0"/>
        <c:numFmt formatCode="General" sourceLinked="1"/>
        <c:majorTickMark val="none"/>
        <c:minorTickMark val="none"/>
        <c:tickLblPos val="nextTo"/>
        <c:spPr>
          <a:ln w="12700">
            <a:noFill/>
          </a:ln>
        </c:spPr>
        <c:crossAx val="16432540"/>
        <c:crosses val="autoZero"/>
        <c:auto val="0"/>
        <c:lblOffset val="100"/>
        <c:noMultiLvlLbl val="0"/>
      </c:catAx>
      <c:valAx>
        <c:axId val="16432540"/>
        <c:scaling>
          <c:orientation val="minMax"/>
        </c:scaling>
        <c:axPos val="l"/>
        <c:title>
          <c:tx>
            <c:rich>
              <a:bodyPr vert="horz" rot="-5400000" anchor="ctr"/>
              <a:lstStyle/>
              <a:p>
                <a:pPr algn="ctr">
                  <a:defRPr/>
                </a:pPr>
                <a:r>
                  <a:rPr lang="en-US" cap="none" sz="1400" b="1" i="0" u="none" baseline="0">
                    <a:solidFill>
                      <a:srgbClr val="000000"/>
                    </a:solidFill>
                  </a:rPr>
                  <a:t>RRI Values</a:t>
                </a:r>
              </a:p>
            </c:rich>
          </c:tx>
          <c:layout/>
          <c:overlay val="0"/>
          <c:spPr>
            <a:noFill/>
            <a:ln>
              <a:noFill/>
            </a:ln>
          </c:spPr>
        </c:title>
        <c:majorGridlines>
          <c:spPr>
            <a:ln w="12700">
              <a:solidFill>
                <a:srgbClr val="000000"/>
              </a:solidFill>
            </a:ln>
          </c:spPr>
        </c:majorGridlines>
        <c:delete val="0"/>
        <c:numFmt formatCode="General" sourceLinked="1"/>
        <c:majorTickMark val="none"/>
        <c:minorTickMark val="none"/>
        <c:tickLblPos val="nextTo"/>
        <c:spPr>
          <a:ln w="12700">
            <a:noFill/>
          </a:ln>
        </c:spPr>
        <c:crossAx val="24195459"/>
        <c:crosses val="autoZero"/>
        <c:crossBetween val="between"/>
        <c:dispUnits/>
      </c:valAx>
      <c:dTable>
        <c:showHorzBorder val="1"/>
        <c:showVertBorder val="1"/>
        <c:showOutline val="1"/>
        <c:showKeys val="1"/>
        <c:spPr>
          <a:ln w="12700">
            <a:solidFill>
              <a:srgbClr val="000000"/>
            </a:solidFill>
          </a:ln>
        </c:spPr>
        <c:txPr>
          <a:bodyPr vert="horz" rot="0"/>
          <a:lstStyle/>
          <a:p>
            <a:pPr>
              <a:defRPr lang="en-US" cap="none" sz="1000" b="1" i="0" u="none" baseline="0">
                <a:solidFill>
                  <a:srgbClr val="000000"/>
                </a:solidFill>
              </a:defRPr>
            </a:pPr>
          </a:p>
        </c:txPr>
      </c:dTable>
      <c:spPr>
        <a:ln w="3175">
          <a:noFill/>
        </a:ln>
      </c:spPr>
    </c:plotArea>
    <c:plotVisOnly val="1"/>
    <c:dispBlanksAs val="gap"/>
    <c:showDLblsOverMax val="0"/>
  </c:chart>
  <c:spPr>
    <a:ln w="12700">
      <a:solidFill>
        <a:srgbClr val="000000"/>
      </a:solidFill>
    </a:ln>
  </c:spPr>
  <c:txPr>
    <a:bodyPr vert="horz" rot="0"/>
    <a:lstStyle/>
    <a:p>
      <a:pPr>
        <a:defRPr lang="en-US" cap="none" sz="1400" b="1"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80" b="1" i="0" u="none" baseline="0"/>
              <a:t>Comparison to RRI </a:t>
            </a:r>
            <a:r>
              <a:rPr lang="en-US" cap="none" sz="1680" b="1" i="0" u="none" baseline="0">
                <a:solidFill>
                  <a:srgbClr val="000000"/>
                </a:solidFill>
              </a:rPr>
              <a:t>Range for Hawaiian Youth, All Reporting Counties</a:t>
            </a:r>
          </a:p>
        </c:rich>
      </c:tx>
      <c:layout/>
      <c:spPr>
        <a:noFill/>
        <a:ln>
          <a:noFill/>
        </a:ln>
      </c:spPr>
    </c:title>
    <c:plotArea>
      <c:layout/>
      <c:lineChart>
        <c:grouping val="standard"/>
        <c:varyColors val="0"/>
        <c:ser>
          <c:idx val="0"/>
          <c:order val="0"/>
          <c:tx>
            <c:v>75th percentile</c:v>
          </c:tx>
          <c:spPr>
            <a:ln w="25400">
              <a:noFill/>
            </a:ln>
          </c:spPr>
          <c:extLst>
            <c:ext xmlns:c14="http://schemas.microsoft.com/office/drawing/2007/8/2/chart" uri="{6F2FDCE9-48DA-4B69-8628-5D25D57E5C99}">
              <c14:invertSolidFillFmt>
                <c14:spPr>
                  <a:solidFill>
                    <a:srgbClr val="000000"/>
                  </a:solidFill>
                </c14:spPr>
              </c14:invertSolidFillFmt>
            </c:ext>
          </c:extLst>
          <c:marker>
            <c:symbol val="dash"/>
            <c:size val="8"/>
            <c:spPr>
              <a:solidFill>
                <a:srgbClr val="FF0000"/>
              </a:solidFill>
              <a:ln>
                <a:solidFill>
                  <a:srgbClr val="FF0000"/>
                </a:solidFill>
              </a:ln>
            </c:spPr>
          </c:marker>
          <c:val>
            <c:numRef>
              <c:f>'compare States'!$AD$190:$AL$190</c:f>
              <c:numCache/>
            </c:numRef>
          </c:val>
          <c:smooth val="0"/>
        </c:ser>
        <c:ser>
          <c:idx val="1"/>
          <c:order val="1"/>
          <c:tx>
            <c:v>25th percentile</c:v>
          </c:tx>
          <c:spPr>
            <a:ln w="25400">
              <a:noFill/>
            </a:ln>
          </c:spPr>
          <c:extLst>
            <c:ext xmlns:c14="http://schemas.microsoft.com/office/drawing/2007/8/2/chart" uri="{6F2FDCE9-48DA-4B69-8628-5D25D57E5C99}">
              <c14:invertSolidFillFmt>
                <c14:spPr>
                  <a:solidFill>
                    <a:srgbClr val="000000"/>
                  </a:solidFill>
                </c14:spPr>
              </c14:invertSolidFillFmt>
            </c:ext>
          </c:extLst>
          <c:marker>
            <c:symbol val="dash"/>
            <c:size val="10"/>
            <c:spPr>
              <a:solidFill>
                <a:srgbClr val="0066CC"/>
              </a:solidFill>
              <a:ln>
                <a:solidFill>
                  <a:srgbClr val="0066CC"/>
                </a:solidFill>
              </a:ln>
            </c:spPr>
          </c:marker>
          <c:val>
            <c:numRef>
              <c:f>'compare States'!$AD$191:$AL$191</c:f>
              <c:numCache/>
            </c:numRef>
          </c:val>
          <c:smooth val="0"/>
        </c:ser>
        <c:ser>
          <c:idx val="2"/>
          <c:order val="2"/>
          <c:tx>
            <c:v>Median</c:v>
          </c:tx>
          <c:spPr>
            <a:ln w="25400">
              <a:no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969696"/>
              </a:solidFill>
              <a:ln>
                <a:solidFill>
                  <a:srgbClr val="969696"/>
                </a:solidFill>
              </a:ln>
            </c:spPr>
          </c:marker>
          <c:val>
            <c:numRef>
              <c:f>'compare States'!$AD$192:$AL$192</c:f>
              <c:numCache/>
            </c:numRef>
          </c:val>
          <c:smooth val="0"/>
        </c:ser>
        <c:ser>
          <c:idx val="3"/>
          <c:order val="3"/>
          <c:tx>
            <c:strRef>
              <c:f>'compare States'!$A$186</c:f>
              <c:strCache>
                <c:ptCount val="1"/>
                <c:pt idx="0">
                  <c:v>State : Virginia</c:v>
                </c:pt>
              </c:strCache>
            </c:strRef>
          </c:tx>
          <c:spPr>
            <a:ln w="25400">
              <a:noFill/>
            </a:ln>
          </c:spPr>
          <c:extLst>
            <c:ext xmlns:c14="http://schemas.microsoft.com/office/drawing/2007/8/2/chart" uri="{6F2FDCE9-48DA-4B69-8628-5D25D57E5C99}">
              <c14:invertSolidFillFmt>
                <c14:spPr>
                  <a:solidFill>
                    <a:srgbClr val="000000"/>
                  </a:solidFill>
                </c14:spPr>
              </c14:invertSolidFillFmt>
            </c:ext>
          </c:extLst>
          <c:marker>
            <c:symbol val="star"/>
            <c:size val="10"/>
            <c:spPr>
              <a:noFill/>
              <a:ln>
                <a:solidFill>
                  <a:srgbClr val="FFCC00"/>
                </a:solidFill>
              </a:ln>
            </c:spPr>
          </c:marker>
          <c:val>
            <c:numRef>
              <c:f>'compare States'!$AD$193:$AL$193</c:f>
              <c:numCache/>
            </c:numRef>
          </c:val>
          <c:smooth val="0"/>
        </c:ser>
        <c:hiLowLines>
          <c:spPr>
            <a:ln w="12700">
              <a:solidFill>
                <a:srgbClr val="99CCFF"/>
              </a:solidFill>
            </a:ln>
          </c:spPr>
        </c:hiLowLines>
        <c:marker val="1"/>
        <c:axId val="13675133"/>
        <c:axId val="55967334"/>
      </c:lineChart>
      <c:catAx>
        <c:axId val="13675133"/>
        <c:scaling>
          <c:orientation val="minMax"/>
        </c:scaling>
        <c:axPos val="b"/>
        <c:delete val="0"/>
        <c:numFmt formatCode="General" sourceLinked="1"/>
        <c:majorTickMark val="none"/>
        <c:minorTickMark val="none"/>
        <c:tickLblPos val="nextTo"/>
        <c:spPr>
          <a:ln w="12700">
            <a:noFill/>
          </a:ln>
        </c:spPr>
        <c:crossAx val="55967334"/>
        <c:crosses val="autoZero"/>
        <c:auto val="0"/>
        <c:lblOffset val="100"/>
        <c:noMultiLvlLbl val="0"/>
      </c:catAx>
      <c:valAx>
        <c:axId val="55967334"/>
        <c:scaling>
          <c:orientation val="minMax"/>
        </c:scaling>
        <c:axPos val="l"/>
        <c:title>
          <c:tx>
            <c:rich>
              <a:bodyPr vert="horz" rot="-5400000" anchor="ctr"/>
              <a:lstStyle/>
              <a:p>
                <a:pPr algn="ctr">
                  <a:defRPr/>
                </a:pPr>
                <a:r>
                  <a:rPr lang="en-US" cap="none" sz="1400" b="1" i="0" u="none" baseline="0">
                    <a:solidFill>
                      <a:srgbClr val="000000"/>
                    </a:solidFill>
                  </a:rPr>
                  <a:t>RRI Values</a:t>
                </a:r>
              </a:p>
            </c:rich>
          </c:tx>
          <c:layout/>
          <c:overlay val="0"/>
          <c:spPr>
            <a:noFill/>
            <a:ln>
              <a:noFill/>
            </a:ln>
          </c:spPr>
        </c:title>
        <c:majorGridlines>
          <c:spPr>
            <a:ln w="12700">
              <a:solidFill>
                <a:srgbClr val="000000"/>
              </a:solidFill>
            </a:ln>
          </c:spPr>
        </c:majorGridlines>
        <c:delete val="0"/>
        <c:numFmt formatCode="General" sourceLinked="1"/>
        <c:majorTickMark val="none"/>
        <c:minorTickMark val="none"/>
        <c:tickLblPos val="nextTo"/>
        <c:spPr>
          <a:ln w="12700">
            <a:noFill/>
          </a:ln>
        </c:spPr>
        <c:crossAx val="13675133"/>
        <c:crosses val="autoZero"/>
        <c:crossBetween val="between"/>
        <c:dispUnits/>
      </c:valAx>
      <c:dTable>
        <c:showHorzBorder val="1"/>
        <c:showVertBorder val="1"/>
        <c:showOutline val="1"/>
        <c:showKeys val="1"/>
        <c:spPr>
          <a:ln w="12700">
            <a:solidFill>
              <a:srgbClr val="000000"/>
            </a:solidFill>
          </a:ln>
        </c:spPr>
        <c:txPr>
          <a:bodyPr vert="horz" rot="0"/>
          <a:lstStyle/>
          <a:p>
            <a:pPr>
              <a:defRPr lang="en-US" cap="none" sz="1000" b="1" i="0" u="none" baseline="0">
                <a:solidFill>
                  <a:srgbClr val="000000"/>
                </a:solidFill>
              </a:defRPr>
            </a:pPr>
          </a:p>
        </c:txPr>
      </c:dTable>
      <c:spPr>
        <a:ln w="3175">
          <a:noFill/>
        </a:ln>
      </c:spPr>
    </c:plotArea>
    <c:plotVisOnly val="1"/>
    <c:dispBlanksAs val="gap"/>
    <c:showDLblsOverMax val="0"/>
  </c:chart>
  <c:spPr>
    <a:ln w="12700">
      <a:solidFill>
        <a:srgbClr val="000000"/>
      </a:solidFill>
    </a:ln>
  </c:spPr>
  <c:txPr>
    <a:bodyPr vert="horz" rot="0"/>
    <a:lstStyle/>
    <a:p>
      <a:pPr>
        <a:defRPr lang="en-US" cap="none" sz="1400" b="1" i="0" u="none" baseline="0">
          <a:solidFill>
            <a:srgbClr val="000000"/>
          </a:solidFil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80" b="1" i="0" u="none" baseline="0"/>
              <a:t>Comparison to RRI </a:t>
            </a:r>
            <a:r>
              <a:rPr lang="en-US" cap="none" sz="1680" b="1" i="0" u="none" baseline="0">
                <a:solidFill>
                  <a:srgbClr val="000000"/>
                </a:solidFill>
              </a:rPr>
              <a:t>Range for Native American Youth, All Reporting Counties</a:t>
            </a:r>
          </a:p>
        </c:rich>
      </c:tx>
      <c:layout/>
      <c:spPr>
        <a:noFill/>
        <a:ln>
          <a:noFill/>
        </a:ln>
      </c:spPr>
    </c:title>
    <c:plotArea>
      <c:layout/>
      <c:lineChart>
        <c:grouping val="standard"/>
        <c:varyColors val="0"/>
        <c:ser>
          <c:idx val="0"/>
          <c:order val="0"/>
          <c:tx>
            <c:v>75th percentile</c:v>
          </c:tx>
          <c:spPr>
            <a:ln w="25400">
              <a:noFill/>
            </a:ln>
          </c:spPr>
          <c:extLst>
            <c:ext xmlns:c14="http://schemas.microsoft.com/office/drawing/2007/8/2/chart" uri="{6F2FDCE9-48DA-4B69-8628-5D25D57E5C99}">
              <c14:invertSolidFillFmt>
                <c14:spPr>
                  <a:solidFill>
                    <a:srgbClr val="000000"/>
                  </a:solidFill>
                </c14:spPr>
              </c14:invertSolidFillFmt>
            </c:ext>
          </c:extLst>
          <c:marker>
            <c:symbol val="dash"/>
            <c:size val="8"/>
            <c:spPr>
              <a:solidFill>
                <a:srgbClr val="FF0000"/>
              </a:solidFill>
              <a:ln>
                <a:solidFill>
                  <a:srgbClr val="FF0000"/>
                </a:solidFill>
              </a:ln>
            </c:spPr>
          </c:marker>
          <c:val>
            <c:numRef>
              <c:f>'compare States'!$AM$190:$AU$190</c:f>
              <c:numCache/>
            </c:numRef>
          </c:val>
          <c:smooth val="0"/>
        </c:ser>
        <c:ser>
          <c:idx val="1"/>
          <c:order val="1"/>
          <c:tx>
            <c:v>25th percentile</c:v>
          </c:tx>
          <c:spPr>
            <a:ln w="25400">
              <a:noFill/>
            </a:ln>
          </c:spPr>
          <c:extLst>
            <c:ext xmlns:c14="http://schemas.microsoft.com/office/drawing/2007/8/2/chart" uri="{6F2FDCE9-48DA-4B69-8628-5D25D57E5C99}">
              <c14:invertSolidFillFmt>
                <c14:spPr>
                  <a:solidFill>
                    <a:srgbClr val="000000"/>
                  </a:solidFill>
                </c14:spPr>
              </c14:invertSolidFillFmt>
            </c:ext>
          </c:extLst>
          <c:marker>
            <c:symbol val="dash"/>
            <c:size val="10"/>
            <c:spPr>
              <a:solidFill>
                <a:srgbClr val="0066CC"/>
              </a:solidFill>
              <a:ln>
                <a:solidFill>
                  <a:srgbClr val="0066CC"/>
                </a:solidFill>
              </a:ln>
            </c:spPr>
          </c:marker>
          <c:val>
            <c:numRef>
              <c:f>'compare States'!$AM$191:$AU$191</c:f>
              <c:numCache/>
            </c:numRef>
          </c:val>
          <c:smooth val="0"/>
        </c:ser>
        <c:ser>
          <c:idx val="2"/>
          <c:order val="2"/>
          <c:tx>
            <c:v>Median</c:v>
          </c:tx>
          <c:spPr>
            <a:ln w="25400">
              <a:no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969696"/>
              </a:solidFill>
              <a:ln>
                <a:solidFill>
                  <a:srgbClr val="969696"/>
                </a:solidFill>
              </a:ln>
            </c:spPr>
          </c:marker>
          <c:val>
            <c:numRef>
              <c:f>'compare States'!$AM$192:$AU$192</c:f>
              <c:numCache/>
            </c:numRef>
          </c:val>
          <c:smooth val="0"/>
        </c:ser>
        <c:ser>
          <c:idx val="3"/>
          <c:order val="3"/>
          <c:tx>
            <c:strRef>
              <c:f>'compare States'!$A$186</c:f>
              <c:strCache>
                <c:ptCount val="1"/>
                <c:pt idx="0">
                  <c:v>State : Virginia</c:v>
                </c:pt>
              </c:strCache>
            </c:strRef>
          </c:tx>
          <c:spPr>
            <a:ln w="25400">
              <a:noFill/>
            </a:ln>
          </c:spPr>
          <c:extLst>
            <c:ext xmlns:c14="http://schemas.microsoft.com/office/drawing/2007/8/2/chart" uri="{6F2FDCE9-48DA-4B69-8628-5D25D57E5C99}">
              <c14:invertSolidFillFmt>
                <c14:spPr>
                  <a:solidFill>
                    <a:srgbClr val="000000"/>
                  </a:solidFill>
                </c14:spPr>
              </c14:invertSolidFillFmt>
            </c:ext>
          </c:extLst>
          <c:marker>
            <c:symbol val="star"/>
            <c:size val="10"/>
            <c:spPr>
              <a:noFill/>
              <a:ln>
                <a:solidFill>
                  <a:srgbClr val="FFCC00"/>
                </a:solidFill>
              </a:ln>
            </c:spPr>
          </c:marker>
          <c:val>
            <c:numRef>
              <c:f>'compare States'!$AM$193:$AU$193</c:f>
              <c:numCache/>
            </c:numRef>
          </c:val>
          <c:smooth val="0"/>
        </c:ser>
        <c:hiLowLines>
          <c:spPr>
            <a:ln w="12700">
              <a:solidFill>
                <a:srgbClr val="99CCFF"/>
              </a:solidFill>
            </a:ln>
          </c:spPr>
        </c:hiLowLines>
        <c:marker val="1"/>
        <c:axId val="33943959"/>
        <c:axId val="37060176"/>
      </c:lineChart>
      <c:catAx>
        <c:axId val="33943959"/>
        <c:scaling>
          <c:orientation val="minMax"/>
        </c:scaling>
        <c:axPos val="b"/>
        <c:delete val="0"/>
        <c:numFmt formatCode="General" sourceLinked="1"/>
        <c:majorTickMark val="none"/>
        <c:minorTickMark val="none"/>
        <c:tickLblPos val="nextTo"/>
        <c:spPr>
          <a:ln w="12700">
            <a:noFill/>
          </a:ln>
        </c:spPr>
        <c:crossAx val="37060176"/>
        <c:crosses val="autoZero"/>
        <c:auto val="0"/>
        <c:lblOffset val="100"/>
        <c:noMultiLvlLbl val="0"/>
      </c:catAx>
      <c:valAx>
        <c:axId val="37060176"/>
        <c:scaling>
          <c:orientation val="minMax"/>
        </c:scaling>
        <c:axPos val="l"/>
        <c:title>
          <c:tx>
            <c:rich>
              <a:bodyPr vert="horz" rot="-5400000" anchor="ctr"/>
              <a:lstStyle/>
              <a:p>
                <a:pPr algn="ctr">
                  <a:defRPr/>
                </a:pPr>
                <a:r>
                  <a:rPr lang="en-US" cap="none" sz="1400" b="1" i="0" u="none" baseline="0">
                    <a:solidFill>
                      <a:srgbClr val="000000"/>
                    </a:solidFill>
                  </a:rPr>
                  <a:t>RRI Values</a:t>
                </a:r>
              </a:p>
            </c:rich>
          </c:tx>
          <c:layout/>
          <c:overlay val="0"/>
          <c:spPr>
            <a:noFill/>
            <a:ln>
              <a:noFill/>
            </a:ln>
          </c:spPr>
        </c:title>
        <c:majorGridlines>
          <c:spPr>
            <a:ln w="12700">
              <a:solidFill>
                <a:srgbClr val="000000"/>
              </a:solidFill>
            </a:ln>
          </c:spPr>
        </c:majorGridlines>
        <c:delete val="0"/>
        <c:numFmt formatCode="General" sourceLinked="1"/>
        <c:majorTickMark val="none"/>
        <c:minorTickMark val="none"/>
        <c:tickLblPos val="nextTo"/>
        <c:spPr>
          <a:ln w="12700">
            <a:noFill/>
          </a:ln>
        </c:spPr>
        <c:crossAx val="33943959"/>
        <c:crosses val="autoZero"/>
        <c:crossBetween val="between"/>
        <c:dispUnits/>
      </c:valAx>
      <c:dTable>
        <c:showHorzBorder val="1"/>
        <c:showVertBorder val="1"/>
        <c:showOutline val="1"/>
        <c:showKeys val="1"/>
        <c:spPr>
          <a:ln w="12700">
            <a:solidFill>
              <a:srgbClr val="000000"/>
            </a:solidFill>
          </a:ln>
        </c:spPr>
        <c:txPr>
          <a:bodyPr vert="horz" rot="0"/>
          <a:lstStyle/>
          <a:p>
            <a:pPr>
              <a:defRPr lang="en-US" cap="none" sz="1000" b="1" i="0" u="none" baseline="0">
                <a:solidFill>
                  <a:srgbClr val="000000"/>
                </a:solidFill>
              </a:defRPr>
            </a:pPr>
          </a:p>
        </c:txPr>
      </c:dTable>
      <c:spPr>
        <a:ln w="3175">
          <a:noFill/>
        </a:ln>
      </c:spPr>
    </c:plotArea>
    <c:plotVisOnly val="1"/>
    <c:dispBlanksAs val="gap"/>
    <c:showDLblsOverMax val="0"/>
  </c:chart>
  <c:spPr>
    <a:ln w="12700">
      <a:solidFill>
        <a:srgbClr val="000000"/>
      </a:solidFill>
    </a:ln>
  </c:spPr>
  <c:txPr>
    <a:bodyPr vert="horz" rot="0"/>
    <a:lstStyle/>
    <a:p>
      <a:pPr>
        <a:defRPr lang="en-US" cap="none" sz="1400" b="1" i="0" u="none" baseline="0">
          <a:solidFill>
            <a:srgbClr val="000000"/>
          </a:solidFil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80" b="1" i="0" u="none" baseline="0"/>
              <a:t>Comparison to RRI </a:t>
            </a:r>
            <a:r>
              <a:rPr lang="en-US" cap="none" sz="1680" b="1" i="0" u="none" baseline="0">
                <a:solidFill>
                  <a:srgbClr val="000000"/>
                </a:solidFill>
              </a:rPr>
              <a:t>Range for Other / Mixed Youth, All Reporting Counties</a:t>
            </a:r>
          </a:p>
        </c:rich>
      </c:tx>
      <c:layout/>
      <c:spPr>
        <a:noFill/>
        <a:ln>
          <a:noFill/>
        </a:ln>
      </c:spPr>
    </c:title>
    <c:plotArea>
      <c:layout/>
      <c:lineChart>
        <c:grouping val="standard"/>
        <c:varyColors val="0"/>
        <c:ser>
          <c:idx val="0"/>
          <c:order val="0"/>
          <c:tx>
            <c:v>75th percentile</c:v>
          </c:tx>
          <c:spPr>
            <a:ln w="25400">
              <a:noFill/>
            </a:ln>
          </c:spPr>
          <c:extLst>
            <c:ext xmlns:c14="http://schemas.microsoft.com/office/drawing/2007/8/2/chart" uri="{6F2FDCE9-48DA-4B69-8628-5D25D57E5C99}">
              <c14:invertSolidFillFmt>
                <c14:spPr>
                  <a:solidFill>
                    <a:srgbClr val="000000"/>
                  </a:solidFill>
                </c14:spPr>
              </c14:invertSolidFillFmt>
            </c:ext>
          </c:extLst>
          <c:marker>
            <c:symbol val="dash"/>
            <c:size val="8"/>
            <c:spPr>
              <a:solidFill>
                <a:srgbClr val="FF0000"/>
              </a:solidFill>
              <a:ln>
                <a:solidFill>
                  <a:srgbClr val="FF0000"/>
                </a:solidFill>
              </a:ln>
            </c:spPr>
          </c:marker>
          <c:val>
            <c:numRef>
              <c:f>'compare States'!$AV$190:$BD$190</c:f>
              <c:numCache/>
            </c:numRef>
          </c:val>
          <c:smooth val="0"/>
        </c:ser>
        <c:ser>
          <c:idx val="1"/>
          <c:order val="1"/>
          <c:tx>
            <c:v>25th percentile</c:v>
          </c:tx>
          <c:spPr>
            <a:ln w="25400">
              <a:noFill/>
            </a:ln>
          </c:spPr>
          <c:extLst>
            <c:ext xmlns:c14="http://schemas.microsoft.com/office/drawing/2007/8/2/chart" uri="{6F2FDCE9-48DA-4B69-8628-5D25D57E5C99}">
              <c14:invertSolidFillFmt>
                <c14:spPr>
                  <a:solidFill>
                    <a:srgbClr val="000000"/>
                  </a:solidFill>
                </c14:spPr>
              </c14:invertSolidFillFmt>
            </c:ext>
          </c:extLst>
          <c:marker>
            <c:symbol val="dash"/>
            <c:size val="10"/>
            <c:spPr>
              <a:solidFill>
                <a:srgbClr val="0066CC"/>
              </a:solidFill>
              <a:ln>
                <a:solidFill>
                  <a:srgbClr val="0066CC"/>
                </a:solidFill>
              </a:ln>
            </c:spPr>
          </c:marker>
          <c:val>
            <c:numRef>
              <c:f>'compare States'!$AV$191:$BD$191</c:f>
              <c:numCache/>
            </c:numRef>
          </c:val>
          <c:smooth val="0"/>
        </c:ser>
        <c:ser>
          <c:idx val="2"/>
          <c:order val="2"/>
          <c:tx>
            <c:v>Median</c:v>
          </c:tx>
          <c:spPr>
            <a:ln w="25400">
              <a:no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969696"/>
              </a:solidFill>
              <a:ln>
                <a:solidFill>
                  <a:srgbClr val="969696"/>
                </a:solidFill>
              </a:ln>
            </c:spPr>
          </c:marker>
          <c:val>
            <c:numRef>
              <c:f>'compare States'!$AV$192:$BD$192</c:f>
              <c:numCache/>
            </c:numRef>
          </c:val>
          <c:smooth val="0"/>
        </c:ser>
        <c:ser>
          <c:idx val="3"/>
          <c:order val="3"/>
          <c:tx>
            <c:strRef>
              <c:f>'compare States'!$A$186</c:f>
              <c:strCache>
                <c:ptCount val="1"/>
                <c:pt idx="0">
                  <c:v>State : Virginia</c:v>
                </c:pt>
              </c:strCache>
            </c:strRef>
          </c:tx>
          <c:spPr>
            <a:ln w="25400">
              <a:noFill/>
            </a:ln>
          </c:spPr>
          <c:extLst>
            <c:ext xmlns:c14="http://schemas.microsoft.com/office/drawing/2007/8/2/chart" uri="{6F2FDCE9-48DA-4B69-8628-5D25D57E5C99}">
              <c14:invertSolidFillFmt>
                <c14:spPr>
                  <a:solidFill>
                    <a:srgbClr val="000000"/>
                  </a:solidFill>
                </c14:spPr>
              </c14:invertSolidFillFmt>
            </c:ext>
          </c:extLst>
          <c:marker>
            <c:symbol val="star"/>
            <c:size val="10"/>
            <c:spPr>
              <a:noFill/>
              <a:ln>
                <a:solidFill>
                  <a:srgbClr val="FFCC00"/>
                </a:solidFill>
              </a:ln>
            </c:spPr>
          </c:marker>
          <c:val>
            <c:numRef>
              <c:f>'compare States'!$AV$193:$BD$193</c:f>
              <c:numCache/>
            </c:numRef>
          </c:val>
          <c:smooth val="0"/>
        </c:ser>
        <c:hiLowLines>
          <c:spPr>
            <a:ln w="12700">
              <a:solidFill>
                <a:srgbClr val="99CCFF"/>
              </a:solidFill>
            </a:ln>
          </c:spPr>
        </c:hiLowLines>
        <c:marker val="1"/>
        <c:axId val="65106129"/>
        <c:axId val="49084250"/>
      </c:lineChart>
      <c:catAx>
        <c:axId val="65106129"/>
        <c:scaling>
          <c:orientation val="minMax"/>
        </c:scaling>
        <c:axPos val="b"/>
        <c:delete val="0"/>
        <c:numFmt formatCode="General" sourceLinked="1"/>
        <c:majorTickMark val="none"/>
        <c:minorTickMark val="none"/>
        <c:tickLblPos val="nextTo"/>
        <c:spPr>
          <a:ln w="12700">
            <a:noFill/>
          </a:ln>
        </c:spPr>
        <c:crossAx val="49084250"/>
        <c:crosses val="autoZero"/>
        <c:auto val="0"/>
        <c:lblOffset val="100"/>
        <c:noMultiLvlLbl val="0"/>
      </c:catAx>
      <c:valAx>
        <c:axId val="49084250"/>
        <c:scaling>
          <c:orientation val="minMax"/>
        </c:scaling>
        <c:axPos val="l"/>
        <c:title>
          <c:tx>
            <c:rich>
              <a:bodyPr vert="horz" rot="-5400000" anchor="ctr"/>
              <a:lstStyle/>
              <a:p>
                <a:pPr algn="ctr">
                  <a:defRPr/>
                </a:pPr>
                <a:r>
                  <a:rPr lang="en-US" cap="none" sz="1400" b="1" i="0" u="none" baseline="0">
                    <a:solidFill>
                      <a:srgbClr val="000000"/>
                    </a:solidFill>
                  </a:rPr>
                  <a:t>RRI Values</a:t>
                </a:r>
              </a:p>
            </c:rich>
          </c:tx>
          <c:layout/>
          <c:overlay val="0"/>
          <c:spPr>
            <a:noFill/>
            <a:ln>
              <a:noFill/>
            </a:ln>
          </c:spPr>
        </c:title>
        <c:majorGridlines>
          <c:spPr>
            <a:ln w="12700">
              <a:solidFill>
                <a:srgbClr val="000000"/>
              </a:solidFill>
            </a:ln>
          </c:spPr>
        </c:majorGridlines>
        <c:delete val="0"/>
        <c:numFmt formatCode="General" sourceLinked="1"/>
        <c:majorTickMark val="none"/>
        <c:minorTickMark val="none"/>
        <c:tickLblPos val="nextTo"/>
        <c:spPr>
          <a:ln w="12700">
            <a:noFill/>
          </a:ln>
        </c:spPr>
        <c:crossAx val="65106129"/>
        <c:crosses val="autoZero"/>
        <c:crossBetween val="between"/>
        <c:dispUnits/>
      </c:valAx>
      <c:dTable>
        <c:showHorzBorder val="1"/>
        <c:showVertBorder val="1"/>
        <c:showOutline val="1"/>
        <c:showKeys val="1"/>
        <c:spPr>
          <a:ln w="12700">
            <a:solidFill>
              <a:srgbClr val="000000"/>
            </a:solidFill>
          </a:ln>
        </c:spPr>
        <c:txPr>
          <a:bodyPr vert="horz" rot="0"/>
          <a:lstStyle/>
          <a:p>
            <a:pPr>
              <a:defRPr lang="en-US" cap="none" sz="1000" b="1" i="0" u="none" baseline="0">
                <a:solidFill>
                  <a:srgbClr val="000000"/>
                </a:solidFill>
              </a:defRPr>
            </a:pPr>
          </a:p>
        </c:txPr>
      </c:dTable>
      <c:spPr>
        <a:ln w="3175">
          <a:noFill/>
        </a:ln>
      </c:spPr>
    </c:plotArea>
    <c:plotVisOnly val="1"/>
    <c:dispBlanksAs val="gap"/>
    <c:showDLblsOverMax val="0"/>
  </c:chart>
  <c:spPr>
    <a:ln w="12700">
      <a:solidFill>
        <a:srgbClr val="000000"/>
      </a:solidFill>
    </a:ln>
  </c:spPr>
  <c:txPr>
    <a:bodyPr vert="horz" rot="0"/>
    <a:lstStyle/>
    <a:p>
      <a:pPr>
        <a:defRPr lang="en-US" cap="none" sz="1400" b="1" i="0" u="none" baseline="0">
          <a:solidFill>
            <a:srgbClr val="000000"/>
          </a:solidFil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80" b="1" i="0" u="none" baseline="0"/>
              <a:t>Comparison to RRI </a:t>
            </a:r>
            <a:r>
              <a:rPr lang="en-US" cap="none" sz="1680" b="1" i="0" u="none" baseline="0">
                <a:solidFill>
                  <a:srgbClr val="000000"/>
                </a:solidFill>
              </a:rPr>
              <a:t>Range for All Minority Youth, All Reporting Counties</a:t>
            </a:r>
          </a:p>
        </c:rich>
      </c:tx>
      <c:layout/>
      <c:spPr>
        <a:noFill/>
        <a:ln>
          <a:noFill/>
        </a:ln>
      </c:spPr>
    </c:title>
    <c:plotArea>
      <c:layout/>
      <c:lineChart>
        <c:grouping val="standard"/>
        <c:varyColors val="0"/>
        <c:ser>
          <c:idx val="0"/>
          <c:order val="0"/>
          <c:tx>
            <c:v>75th percentile</c:v>
          </c:tx>
          <c:spPr>
            <a:ln w="25400">
              <a:noFill/>
            </a:ln>
          </c:spPr>
          <c:extLst>
            <c:ext xmlns:c14="http://schemas.microsoft.com/office/drawing/2007/8/2/chart" uri="{6F2FDCE9-48DA-4B69-8628-5D25D57E5C99}">
              <c14:invertSolidFillFmt>
                <c14:spPr>
                  <a:solidFill>
                    <a:srgbClr val="000000"/>
                  </a:solidFill>
                </c14:spPr>
              </c14:invertSolidFillFmt>
            </c:ext>
          </c:extLst>
          <c:marker>
            <c:symbol val="dash"/>
            <c:size val="8"/>
            <c:spPr>
              <a:solidFill>
                <a:srgbClr val="FF0000"/>
              </a:solidFill>
              <a:ln>
                <a:solidFill>
                  <a:srgbClr val="FF0000"/>
                </a:solidFill>
              </a:ln>
            </c:spPr>
          </c:marker>
          <c:val>
            <c:numRef>
              <c:f>'compare States'!$BE$190:$BM$190</c:f>
              <c:numCache/>
            </c:numRef>
          </c:val>
          <c:smooth val="0"/>
        </c:ser>
        <c:ser>
          <c:idx val="1"/>
          <c:order val="1"/>
          <c:tx>
            <c:v>25th percentile</c:v>
          </c:tx>
          <c:spPr>
            <a:ln w="25400">
              <a:noFill/>
            </a:ln>
          </c:spPr>
          <c:extLst>
            <c:ext xmlns:c14="http://schemas.microsoft.com/office/drawing/2007/8/2/chart" uri="{6F2FDCE9-48DA-4B69-8628-5D25D57E5C99}">
              <c14:invertSolidFillFmt>
                <c14:spPr>
                  <a:solidFill>
                    <a:srgbClr val="000000"/>
                  </a:solidFill>
                </c14:spPr>
              </c14:invertSolidFillFmt>
            </c:ext>
          </c:extLst>
          <c:marker>
            <c:symbol val="dash"/>
            <c:size val="10"/>
            <c:spPr>
              <a:solidFill>
                <a:srgbClr val="0066CC"/>
              </a:solidFill>
              <a:ln>
                <a:solidFill>
                  <a:srgbClr val="0066CC"/>
                </a:solidFill>
              </a:ln>
            </c:spPr>
          </c:marker>
          <c:val>
            <c:numRef>
              <c:f>'compare States'!$BE$191:$BM$191</c:f>
              <c:numCache/>
            </c:numRef>
          </c:val>
          <c:smooth val="0"/>
        </c:ser>
        <c:ser>
          <c:idx val="2"/>
          <c:order val="2"/>
          <c:tx>
            <c:v>Median</c:v>
          </c:tx>
          <c:spPr>
            <a:ln w="25400">
              <a:no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969696"/>
              </a:solidFill>
              <a:ln>
                <a:solidFill>
                  <a:srgbClr val="969696"/>
                </a:solidFill>
              </a:ln>
            </c:spPr>
          </c:marker>
          <c:val>
            <c:numRef>
              <c:f>'compare States'!$BE$192:$BM$192</c:f>
              <c:numCache/>
            </c:numRef>
          </c:val>
          <c:smooth val="0"/>
        </c:ser>
        <c:ser>
          <c:idx val="3"/>
          <c:order val="3"/>
          <c:tx>
            <c:strRef>
              <c:f>'compare States'!$A$186</c:f>
              <c:strCache>
                <c:ptCount val="1"/>
                <c:pt idx="0">
                  <c:v>State : Virginia</c:v>
                </c:pt>
              </c:strCache>
            </c:strRef>
          </c:tx>
          <c:spPr>
            <a:ln w="25400">
              <a:noFill/>
            </a:ln>
          </c:spPr>
          <c:extLst>
            <c:ext xmlns:c14="http://schemas.microsoft.com/office/drawing/2007/8/2/chart" uri="{6F2FDCE9-48DA-4B69-8628-5D25D57E5C99}">
              <c14:invertSolidFillFmt>
                <c14:spPr>
                  <a:solidFill>
                    <a:srgbClr val="000000"/>
                  </a:solidFill>
                </c14:spPr>
              </c14:invertSolidFillFmt>
            </c:ext>
          </c:extLst>
          <c:marker>
            <c:symbol val="star"/>
            <c:size val="10"/>
            <c:spPr>
              <a:noFill/>
              <a:ln>
                <a:solidFill>
                  <a:srgbClr val="FFCC00"/>
                </a:solidFill>
              </a:ln>
            </c:spPr>
          </c:marker>
          <c:val>
            <c:numRef>
              <c:f>'compare States'!$BE$193:$BM$193</c:f>
              <c:numCache/>
            </c:numRef>
          </c:val>
          <c:smooth val="0"/>
        </c:ser>
        <c:hiLowLines>
          <c:spPr>
            <a:ln w="12700">
              <a:solidFill>
                <a:srgbClr val="99CCFF"/>
              </a:solidFill>
            </a:ln>
          </c:spPr>
        </c:hiLowLines>
        <c:marker val="1"/>
        <c:axId val="39105067"/>
        <c:axId val="16401284"/>
      </c:lineChart>
      <c:catAx>
        <c:axId val="39105067"/>
        <c:scaling>
          <c:orientation val="minMax"/>
        </c:scaling>
        <c:axPos val="b"/>
        <c:delete val="0"/>
        <c:numFmt formatCode="General" sourceLinked="1"/>
        <c:majorTickMark val="none"/>
        <c:minorTickMark val="none"/>
        <c:tickLblPos val="nextTo"/>
        <c:spPr>
          <a:ln w="12700">
            <a:noFill/>
          </a:ln>
        </c:spPr>
        <c:crossAx val="16401284"/>
        <c:crosses val="autoZero"/>
        <c:auto val="0"/>
        <c:lblOffset val="100"/>
        <c:noMultiLvlLbl val="0"/>
      </c:catAx>
      <c:valAx>
        <c:axId val="16401284"/>
        <c:scaling>
          <c:orientation val="minMax"/>
        </c:scaling>
        <c:axPos val="l"/>
        <c:title>
          <c:tx>
            <c:rich>
              <a:bodyPr vert="horz" rot="-5400000" anchor="ctr"/>
              <a:lstStyle/>
              <a:p>
                <a:pPr algn="ctr">
                  <a:defRPr/>
                </a:pPr>
                <a:r>
                  <a:rPr lang="en-US" cap="none" sz="1400" b="1" i="0" u="none" baseline="0">
                    <a:solidFill>
                      <a:srgbClr val="000000"/>
                    </a:solidFill>
                  </a:rPr>
                  <a:t>RRI Values</a:t>
                </a:r>
              </a:p>
            </c:rich>
          </c:tx>
          <c:layout/>
          <c:overlay val="0"/>
          <c:spPr>
            <a:noFill/>
            <a:ln>
              <a:noFill/>
            </a:ln>
          </c:spPr>
        </c:title>
        <c:majorGridlines>
          <c:spPr>
            <a:ln w="12700">
              <a:solidFill>
                <a:srgbClr val="000000"/>
              </a:solidFill>
            </a:ln>
          </c:spPr>
        </c:majorGridlines>
        <c:delete val="0"/>
        <c:numFmt formatCode="General" sourceLinked="1"/>
        <c:majorTickMark val="none"/>
        <c:minorTickMark val="none"/>
        <c:tickLblPos val="nextTo"/>
        <c:spPr>
          <a:ln w="12700">
            <a:noFill/>
          </a:ln>
        </c:spPr>
        <c:crossAx val="39105067"/>
        <c:crosses val="autoZero"/>
        <c:crossBetween val="between"/>
        <c:dispUnits/>
      </c:valAx>
      <c:dTable>
        <c:showHorzBorder val="1"/>
        <c:showVertBorder val="1"/>
        <c:showOutline val="1"/>
        <c:showKeys val="1"/>
        <c:spPr>
          <a:ln w="12700">
            <a:solidFill>
              <a:srgbClr val="000000"/>
            </a:solidFill>
          </a:ln>
        </c:spPr>
        <c:txPr>
          <a:bodyPr vert="horz" rot="0"/>
          <a:lstStyle/>
          <a:p>
            <a:pPr>
              <a:defRPr lang="en-US" cap="none" sz="1000" b="1" i="0" u="none" baseline="0">
                <a:solidFill>
                  <a:srgbClr val="000000"/>
                </a:solidFill>
              </a:defRPr>
            </a:pPr>
          </a:p>
        </c:txPr>
      </c:dTable>
      <c:spPr>
        <a:ln w="3175">
          <a:noFill/>
        </a:ln>
      </c:spPr>
    </c:plotArea>
    <c:plotVisOnly val="1"/>
    <c:dispBlanksAs val="gap"/>
    <c:showDLblsOverMax val="0"/>
  </c:chart>
  <c:spPr>
    <a:ln w="12700">
      <a:solidFill>
        <a:srgbClr val="000000"/>
      </a:solidFill>
    </a:ln>
  </c:spPr>
  <c:txPr>
    <a:bodyPr vert="horz" rot="0"/>
    <a:lstStyle/>
    <a:p>
      <a:pPr>
        <a:defRPr lang="en-US" cap="none" sz="1400" b="1"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Comparison to RRI Range for Black Youth, All Reporting Counties</a:t>
            </a:r>
          </a:p>
        </c:rich>
      </c:tx>
      <c:layout/>
      <c:spPr>
        <a:noFill/>
        <a:ln>
          <a:noFill/>
        </a:ln>
      </c:spPr>
    </c:title>
    <c:plotArea>
      <c:layout/>
      <c:lineChart>
        <c:grouping val="standard"/>
        <c:varyColors val="0"/>
        <c:ser>
          <c:idx val="0"/>
          <c:order val="0"/>
          <c:tx>
            <c:v>75th percentile</c:v>
          </c:tx>
          <c:spPr>
            <a:ln w="25400">
              <a:noFill/>
            </a:ln>
          </c:spPr>
          <c:extLst>
            <c:ext xmlns:c14="http://schemas.microsoft.com/office/drawing/2007/8/2/chart" uri="{6F2FDCE9-48DA-4B69-8628-5D25D57E5C99}">
              <c14:invertSolidFillFmt>
                <c14:spPr>
                  <a:solidFill>
                    <a:srgbClr val="000000"/>
                  </a:solidFill>
                </c14:spPr>
              </c14:invertSolidFillFmt>
            </c:ext>
          </c:extLst>
          <c:marker>
            <c:symbol val="dash"/>
            <c:size val="8"/>
            <c:spPr>
              <a:solidFill>
                <a:srgbClr val="FF0000"/>
              </a:solidFill>
              <a:ln>
                <a:solidFill>
                  <a:srgbClr val="FF0000"/>
                </a:solidFill>
              </a:ln>
            </c:spPr>
          </c:marker>
          <c:val>
            <c:numRef>
              <c:f>'compare counties'!$C$167:$K$167</c:f>
              <c:numCache/>
            </c:numRef>
          </c:val>
          <c:smooth val="0"/>
        </c:ser>
        <c:ser>
          <c:idx val="1"/>
          <c:order val="1"/>
          <c:tx>
            <c:v>25th percentile</c:v>
          </c:tx>
          <c:spPr>
            <a:ln w="25400">
              <a:noFill/>
            </a:ln>
          </c:spPr>
          <c:extLst>
            <c:ext xmlns:c14="http://schemas.microsoft.com/office/drawing/2007/8/2/chart" uri="{6F2FDCE9-48DA-4B69-8628-5D25D57E5C99}">
              <c14:invertSolidFillFmt>
                <c14:spPr>
                  <a:solidFill>
                    <a:srgbClr val="000000"/>
                  </a:solidFill>
                </c14:spPr>
              </c14:invertSolidFillFmt>
            </c:ext>
          </c:extLst>
          <c:marker>
            <c:symbol val="dash"/>
            <c:size val="10"/>
            <c:spPr>
              <a:solidFill>
                <a:srgbClr val="0066CC"/>
              </a:solidFill>
              <a:ln>
                <a:solidFill>
                  <a:srgbClr val="0066CC"/>
                </a:solidFill>
              </a:ln>
            </c:spPr>
          </c:marker>
          <c:val>
            <c:numRef>
              <c:f>'compare counties'!$C$168:$K$168</c:f>
              <c:numCache/>
            </c:numRef>
          </c:val>
          <c:smooth val="0"/>
        </c:ser>
        <c:ser>
          <c:idx val="2"/>
          <c:order val="2"/>
          <c:tx>
            <c:v>Median</c:v>
          </c:tx>
          <c:spPr>
            <a:ln w="25400">
              <a:no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969696"/>
              </a:solidFill>
              <a:ln>
                <a:solidFill>
                  <a:srgbClr val="969696"/>
                </a:solidFill>
              </a:ln>
            </c:spPr>
          </c:marker>
          <c:val>
            <c:numRef>
              <c:f>'compare counties'!$C$169:$K$169</c:f>
              <c:numCache/>
            </c:numRef>
          </c:val>
          <c:smooth val="0"/>
        </c:ser>
        <c:ser>
          <c:idx val="3"/>
          <c:order val="3"/>
          <c:tx>
            <c:strRef>
              <c:f>'compare counties'!$A$163</c:f>
              <c:strCache>
                <c:ptCount val="1"/>
                <c:pt idx="0">
                  <c:v>County : Statewide</c:v>
                </c:pt>
              </c:strCache>
            </c:strRef>
          </c:tx>
          <c:spPr>
            <a:ln w="25400">
              <a:noFill/>
            </a:ln>
          </c:spPr>
          <c:extLst>
            <c:ext xmlns:c14="http://schemas.microsoft.com/office/drawing/2007/8/2/chart" uri="{6F2FDCE9-48DA-4B69-8628-5D25D57E5C99}">
              <c14:invertSolidFillFmt>
                <c14:spPr>
                  <a:solidFill>
                    <a:srgbClr val="000000"/>
                  </a:solidFill>
                </c14:spPr>
              </c14:invertSolidFillFmt>
            </c:ext>
          </c:extLst>
          <c:marker>
            <c:symbol val="star"/>
            <c:size val="10"/>
            <c:spPr>
              <a:noFill/>
              <a:ln>
                <a:solidFill>
                  <a:srgbClr val="FFCC00"/>
                </a:solidFill>
              </a:ln>
            </c:spPr>
          </c:marker>
          <c:val>
            <c:numRef>
              <c:f>'compare counties'!$C$170:$K$170</c:f>
              <c:numCache/>
            </c:numRef>
          </c:val>
          <c:smooth val="0"/>
        </c:ser>
        <c:hiLowLines>
          <c:spPr>
            <a:ln w="12700">
              <a:solidFill>
                <a:srgbClr val="99CCFF"/>
              </a:solidFill>
            </a:ln>
          </c:spPr>
        </c:hiLowLines>
        <c:marker val="1"/>
        <c:axId val="60290611"/>
        <c:axId val="5744588"/>
      </c:lineChart>
      <c:catAx>
        <c:axId val="60290611"/>
        <c:scaling>
          <c:orientation val="minMax"/>
        </c:scaling>
        <c:axPos val="b"/>
        <c:delete val="0"/>
        <c:numFmt formatCode="General" sourceLinked="1"/>
        <c:majorTickMark val="none"/>
        <c:minorTickMark val="none"/>
        <c:tickLblPos val="nextTo"/>
        <c:spPr>
          <a:ln w="12700">
            <a:noFill/>
          </a:ln>
        </c:spPr>
        <c:crossAx val="5744588"/>
        <c:crosses val="autoZero"/>
        <c:auto val="0"/>
        <c:lblOffset val="100"/>
        <c:noMultiLvlLbl val="0"/>
      </c:catAx>
      <c:valAx>
        <c:axId val="5744588"/>
        <c:scaling>
          <c:orientation val="minMax"/>
          <c:max val="6"/>
        </c:scaling>
        <c:axPos val="l"/>
        <c:title>
          <c:tx>
            <c:rich>
              <a:bodyPr vert="horz" rot="-5400000" anchor="ctr"/>
              <a:lstStyle/>
              <a:p>
                <a:pPr algn="ctr">
                  <a:defRPr/>
                </a:pPr>
                <a:r>
                  <a:rPr lang="en-US" cap="none" sz="1400" b="1" i="0" u="none" baseline="0">
                    <a:solidFill>
                      <a:srgbClr val="000000"/>
                    </a:solidFill>
                  </a:rPr>
                  <a:t>RRI Values</a:t>
                </a:r>
              </a:p>
            </c:rich>
          </c:tx>
          <c:layout/>
          <c:overlay val="0"/>
          <c:spPr>
            <a:noFill/>
            <a:ln>
              <a:noFill/>
            </a:ln>
          </c:spPr>
        </c:title>
        <c:majorGridlines>
          <c:spPr>
            <a:ln w="12700">
              <a:solidFill>
                <a:srgbClr val="000000"/>
              </a:solidFill>
            </a:ln>
          </c:spPr>
        </c:majorGridlines>
        <c:delete val="0"/>
        <c:numFmt formatCode="General" sourceLinked="1"/>
        <c:majorTickMark val="none"/>
        <c:minorTickMark val="none"/>
        <c:tickLblPos val="nextTo"/>
        <c:spPr>
          <a:ln w="12700">
            <a:noFill/>
          </a:ln>
        </c:spPr>
        <c:crossAx val="60290611"/>
        <c:crosses val="autoZero"/>
        <c:crossBetween val="between"/>
        <c:dispUnits/>
      </c:valAx>
      <c:dTable>
        <c:showHorzBorder val="1"/>
        <c:showVertBorder val="1"/>
        <c:showOutline val="1"/>
        <c:showKeys val="1"/>
        <c:spPr>
          <a:ln w="12700">
            <a:solidFill>
              <a:srgbClr val="000000"/>
            </a:solidFill>
          </a:ln>
        </c:spPr>
        <c:txPr>
          <a:bodyPr vert="horz" rot="0"/>
          <a:lstStyle/>
          <a:p>
            <a:pPr>
              <a:defRPr lang="en-US" cap="none" sz="1000" b="1" i="0" u="none" baseline="0">
                <a:solidFill>
                  <a:srgbClr val="000000"/>
                </a:solidFill>
              </a:defRPr>
            </a:pPr>
          </a:p>
        </c:txPr>
      </c:dTable>
      <c:spPr>
        <a:ln w="3175">
          <a:noFill/>
        </a:ln>
      </c:spPr>
    </c:plotArea>
    <c:plotVisOnly val="1"/>
    <c:dispBlanksAs val="gap"/>
    <c:showDLblsOverMax val="0"/>
  </c:chart>
  <c:spPr>
    <a:ln w="12700">
      <a:solidFill>
        <a:srgbClr val="000000"/>
      </a:solidFill>
    </a:ln>
  </c:spPr>
  <c:txPr>
    <a:bodyPr vert="horz" rot="0"/>
    <a:lstStyle/>
    <a:p>
      <a:pPr>
        <a:defRPr lang="en-US" cap="none" sz="1400" b="1"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80" b="1" i="0" u="none" baseline="0"/>
              <a:t>Comparison to RRI </a:t>
            </a:r>
            <a:r>
              <a:rPr lang="en-US" cap="none" sz="1680" b="1" i="0" u="none" baseline="0">
                <a:solidFill>
                  <a:srgbClr val="000000"/>
                </a:solidFill>
              </a:rPr>
              <a:t>Range for Asian Youth, All Reporting Counties</a:t>
            </a:r>
          </a:p>
        </c:rich>
      </c:tx>
      <c:layout/>
      <c:spPr>
        <a:noFill/>
        <a:ln>
          <a:noFill/>
        </a:ln>
      </c:spPr>
    </c:title>
    <c:plotArea>
      <c:layout/>
      <c:lineChart>
        <c:grouping val="standard"/>
        <c:varyColors val="0"/>
        <c:ser>
          <c:idx val="0"/>
          <c:order val="0"/>
          <c:tx>
            <c:v>75th percentile</c:v>
          </c:tx>
          <c:spPr>
            <a:ln w="25400">
              <a:noFill/>
            </a:ln>
          </c:spPr>
          <c:extLst>
            <c:ext xmlns:c14="http://schemas.microsoft.com/office/drawing/2007/8/2/chart" uri="{6F2FDCE9-48DA-4B69-8628-5D25D57E5C99}">
              <c14:invertSolidFillFmt>
                <c14:spPr>
                  <a:solidFill>
                    <a:srgbClr val="000000"/>
                  </a:solidFill>
                </c14:spPr>
              </c14:invertSolidFillFmt>
            </c:ext>
          </c:extLst>
          <c:marker>
            <c:symbol val="dash"/>
            <c:size val="8"/>
            <c:spPr>
              <a:solidFill>
                <a:srgbClr val="FF0000"/>
              </a:solidFill>
              <a:ln>
                <a:solidFill>
                  <a:srgbClr val="FF0000"/>
                </a:solidFill>
              </a:ln>
            </c:spPr>
          </c:marker>
          <c:val>
            <c:numRef>
              <c:f>'compare counties'!$U$167:$AC$167</c:f>
              <c:numCache/>
            </c:numRef>
          </c:val>
          <c:smooth val="0"/>
        </c:ser>
        <c:ser>
          <c:idx val="1"/>
          <c:order val="1"/>
          <c:tx>
            <c:v>25th percentile</c:v>
          </c:tx>
          <c:spPr>
            <a:ln w="25400">
              <a:noFill/>
            </a:ln>
          </c:spPr>
          <c:extLst>
            <c:ext xmlns:c14="http://schemas.microsoft.com/office/drawing/2007/8/2/chart" uri="{6F2FDCE9-48DA-4B69-8628-5D25D57E5C99}">
              <c14:invertSolidFillFmt>
                <c14:spPr>
                  <a:solidFill>
                    <a:srgbClr val="000000"/>
                  </a:solidFill>
                </c14:spPr>
              </c14:invertSolidFillFmt>
            </c:ext>
          </c:extLst>
          <c:marker>
            <c:symbol val="dash"/>
            <c:size val="10"/>
            <c:spPr>
              <a:solidFill>
                <a:srgbClr val="0066CC"/>
              </a:solidFill>
              <a:ln>
                <a:solidFill>
                  <a:srgbClr val="0066CC"/>
                </a:solidFill>
              </a:ln>
            </c:spPr>
          </c:marker>
          <c:val>
            <c:numRef>
              <c:f>'compare counties'!$U$168:$AC$168</c:f>
              <c:numCache/>
            </c:numRef>
          </c:val>
          <c:smooth val="0"/>
        </c:ser>
        <c:ser>
          <c:idx val="2"/>
          <c:order val="2"/>
          <c:tx>
            <c:v>Median</c:v>
          </c:tx>
          <c:spPr>
            <a:ln w="25400">
              <a:no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969696"/>
              </a:solidFill>
              <a:ln>
                <a:solidFill>
                  <a:srgbClr val="969696"/>
                </a:solidFill>
              </a:ln>
            </c:spPr>
          </c:marker>
          <c:val>
            <c:numRef>
              <c:f>'compare counties'!$U$169:$AC$169</c:f>
              <c:numCache/>
            </c:numRef>
          </c:val>
          <c:smooth val="0"/>
        </c:ser>
        <c:ser>
          <c:idx val="3"/>
          <c:order val="3"/>
          <c:tx>
            <c:strRef>
              <c:f>'compare counties'!$A$163</c:f>
              <c:strCache>
                <c:ptCount val="1"/>
                <c:pt idx="0">
                  <c:v>County : Statewide</c:v>
                </c:pt>
              </c:strCache>
            </c:strRef>
          </c:tx>
          <c:spPr>
            <a:ln w="25400">
              <a:noFill/>
            </a:ln>
          </c:spPr>
          <c:extLst>
            <c:ext xmlns:c14="http://schemas.microsoft.com/office/drawing/2007/8/2/chart" uri="{6F2FDCE9-48DA-4B69-8628-5D25D57E5C99}">
              <c14:invertSolidFillFmt>
                <c14:spPr>
                  <a:solidFill>
                    <a:srgbClr val="000000"/>
                  </a:solidFill>
                </c14:spPr>
              </c14:invertSolidFillFmt>
            </c:ext>
          </c:extLst>
          <c:marker>
            <c:symbol val="star"/>
            <c:size val="10"/>
            <c:spPr>
              <a:noFill/>
              <a:ln>
                <a:solidFill>
                  <a:srgbClr val="FFCC00"/>
                </a:solidFill>
              </a:ln>
            </c:spPr>
          </c:marker>
          <c:val>
            <c:numRef>
              <c:f>'compare counties'!$U$170:$AC$170</c:f>
              <c:numCache/>
            </c:numRef>
          </c:val>
          <c:smooth val="0"/>
        </c:ser>
        <c:hiLowLines>
          <c:spPr>
            <a:ln w="12700">
              <a:solidFill>
                <a:srgbClr val="99CCFF"/>
              </a:solidFill>
            </a:ln>
          </c:spPr>
        </c:hiLowLines>
        <c:marker val="1"/>
        <c:axId val="51701293"/>
        <c:axId val="62658454"/>
      </c:lineChart>
      <c:catAx>
        <c:axId val="51701293"/>
        <c:scaling>
          <c:orientation val="minMax"/>
        </c:scaling>
        <c:axPos val="b"/>
        <c:delete val="0"/>
        <c:numFmt formatCode="General" sourceLinked="1"/>
        <c:majorTickMark val="none"/>
        <c:minorTickMark val="none"/>
        <c:tickLblPos val="nextTo"/>
        <c:spPr>
          <a:ln w="12700">
            <a:noFill/>
          </a:ln>
        </c:spPr>
        <c:crossAx val="62658454"/>
        <c:crosses val="autoZero"/>
        <c:auto val="0"/>
        <c:lblOffset val="100"/>
        <c:noMultiLvlLbl val="0"/>
      </c:catAx>
      <c:valAx>
        <c:axId val="62658454"/>
        <c:scaling>
          <c:orientation val="minMax"/>
        </c:scaling>
        <c:axPos val="l"/>
        <c:title>
          <c:tx>
            <c:rich>
              <a:bodyPr vert="horz" rot="-5400000" anchor="ctr"/>
              <a:lstStyle/>
              <a:p>
                <a:pPr algn="ctr">
                  <a:defRPr/>
                </a:pPr>
                <a:r>
                  <a:rPr lang="en-US" cap="none" sz="1400" b="1" i="0" u="none" baseline="0">
                    <a:solidFill>
                      <a:srgbClr val="000000"/>
                    </a:solidFill>
                  </a:rPr>
                  <a:t>RRI Values</a:t>
                </a:r>
              </a:p>
            </c:rich>
          </c:tx>
          <c:layout/>
          <c:overlay val="0"/>
          <c:spPr>
            <a:noFill/>
            <a:ln>
              <a:noFill/>
            </a:ln>
          </c:spPr>
        </c:title>
        <c:majorGridlines>
          <c:spPr>
            <a:ln w="12700">
              <a:solidFill>
                <a:srgbClr val="000000"/>
              </a:solidFill>
            </a:ln>
          </c:spPr>
        </c:majorGridlines>
        <c:delete val="0"/>
        <c:numFmt formatCode="General" sourceLinked="1"/>
        <c:majorTickMark val="none"/>
        <c:minorTickMark val="none"/>
        <c:tickLblPos val="nextTo"/>
        <c:spPr>
          <a:ln w="12700">
            <a:noFill/>
          </a:ln>
        </c:spPr>
        <c:crossAx val="51701293"/>
        <c:crosses val="autoZero"/>
        <c:crossBetween val="between"/>
        <c:dispUnits/>
      </c:valAx>
      <c:dTable>
        <c:showHorzBorder val="1"/>
        <c:showVertBorder val="1"/>
        <c:showOutline val="1"/>
        <c:showKeys val="1"/>
        <c:spPr>
          <a:ln w="12700">
            <a:solidFill>
              <a:srgbClr val="000000"/>
            </a:solidFill>
          </a:ln>
        </c:spPr>
        <c:txPr>
          <a:bodyPr vert="horz" rot="0"/>
          <a:lstStyle/>
          <a:p>
            <a:pPr>
              <a:defRPr lang="en-US" cap="none" sz="1000" b="1" i="0" u="none" baseline="0">
                <a:solidFill>
                  <a:srgbClr val="000000"/>
                </a:solidFill>
              </a:defRPr>
            </a:pPr>
          </a:p>
        </c:txPr>
      </c:dTable>
      <c:spPr>
        <a:ln w="3175">
          <a:noFill/>
        </a:ln>
      </c:spPr>
    </c:plotArea>
    <c:plotVisOnly val="1"/>
    <c:dispBlanksAs val="gap"/>
    <c:showDLblsOverMax val="0"/>
  </c:chart>
  <c:spPr>
    <a:ln w="12700">
      <a:solidFill>
        <a:srgbClr val="000000"/>
      </a:solidFill>
    </a:ln>
  </c:spPr>
  <c:txPr>
    <a:bodyPr vert="horz" rot="0"/>
    <a:lstStyle/>
    <a:p>
      <a:pPr>
        <a:defRPr lang="en-US" cap="none" sz="1400" b="1"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80" b="1" i="0" u="none" baseline="0"/>
              <a:t>Comparison to RRI </a:t>
            </a:r>
            <a:r>
              <a:rPr lang="en-US" cap="none" sz="1680" b="1" i="0" u="none" baseline="0">
                <a:solidFill>
                  <a:srgbClr val="000000"/>
                </a:solidFill>
              </a:rPr>
              <a:t>Range for Hawaiian Youth, All Reporting Counties</a:t>
            </a:r>
          </a:p>
        </c:rich>
      </c:tx>
      <c:layout/>
      <c:spPr>
        <a:noFill/>
        <a:ln>
          <a:noFill/>
        </a:ln>
      </c:spPr>
    </c:title>
    <c:plotArea>
      <c:layout/>
      <c:lineChart>
        <c:grouping val="standard"/>
        <c:varyColors val="0"/>
        <c:ser>
          <c:idx val="0"/>
          <c:order val="0"/>
          <c:tx>
            <c:v>75th percentile</c:v>
          </c:tx>
          <c:spPr>
            <a:ln w="25400">
              <a:noFill/>
            </a:ln>
          </c:spPr>
          <c:extLst>
            <c:ext xmlns:c14="http://schemas.microsoft.com/office/drawing/2007/8/2/chart" uri="{6F2FDCE9-48DA-4B69-8628-5D25D57E5C99}">
              <c14:invertSolidFillFmt>
                <c14:spPr>
                  <a:solidFill>
                    <a:srgbClr val="000000"/>
                  </a:solidFill>
                </c14:spPr>
              </c14:invertSolidFillFmt>
            </c:ext>
          </c:extLst>
          <c:marker>
            <c:symbol val="dash"/>
            <c:size val="8"/>
            <c:spPr>
              <a:solidFill>
                <a:srgbClr val="FF0000"/>
              </a:solidFill>
              <a:ln>
                <a:solidFill>
                  <a:srgbClr val="FF0000"/>
                </a:solidFill>
              </a:ln>
            </c:spPr>
          </c:marker>
          <c:val>
            <c:numRef>
              <c:f>'compare counties'!$AD$167:$AL$167</c:f>
              <c:numCache/>
            </c:numRef>
          </c:val>
          <c:smooth val="0"/>
        </c:ser>
        <c:ser>
          <c:idx val="1"/>
          <c:order val="1"/>
          <c:tx>
            <c:v>25th percentile</c:v>
          </c:tx>
          <c:spPr>
            <a:ln w="25400">
              <a:noFill/>
            </a:ln>
          </c:spPr>
          <c:extLst>
            <c:ext xmlns:c14="http://schemas.microsoft.com/office/drawing/2007/8/2/chart" uri="{6F2FDCE9-48DA-4B69-8628-5D25D57E5C99}">
              <c14:invertSolidFillFmt>
                <c14:spPr>
                  <a:solidFill>
                    <a:srgbClr val="000000"/>
                  </a:solidFill>
                </c14:spPr>
              </c14:invertSolidFillFmt>
            </c:ext>
          </c:extLst>
          <c:marker>
            <c:symbol val="dash"/>
            <c:size val="10"/>
            <c:spPr>
              <a:solidFill>
                <a:srgbClr val="0066CC"/>
              </a:solidFill>
              <a:ln>
                <a:solidFill>
                  <a:srgbClr val="0066CC"/>
                </a:solidFill>
              </a:ln>
            </c:spPr>
          </c:marker>
          <c:val>
            <c:numRef>
              <c:f>'compare counties'!$AD$168:$AL$168</c:f>
              <c:numCache/>
            </c:numRef>
          </c:val>
          <c:smooth val="0"/>
        </c:ser>
        <c:ser>
          <c:idx val="2"/>
          <c:order val="2"/>
          <c:tx>
            <c:v>Median</c:v>
          </c:tx>
          <c:spPr>
            <a:ln w="25400">
              <a:no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969696"/>
              </a:solidFill>
              <a:ln>
                <a:solidFill>
                  <a:srgbClr val="969696"/>
                </a:solidFill>
              </a:ln>
            </c:spPr>
          </c:marker>
          <c:val>
            <c:numRef>
              <c:f>'compare counties'!$AD$169:$AL$169</c:f>
              <c:numCache/>
            </c:numRef>
          </c:val>
          <c:smooth val="0"/>
        </c:ser>
        <c:ser>
          <c:idx val="3"/>
          <c:order val="3"/>
          <c:tx>
            <c:strRef>
              <c:f>'compare counties'!$A$163</c:f>
              <c:strCache>
                <c:ptCount val="1"/>
                <c:pt idx="0">
                  <c:v>County : Statewide</c:v>
                </c:pt>
              </c:strCache>
            </c:strRef>
          </c:tx>
          <c:spPr>
            <a:ln w="25400">
              <a:noFill/>
            </a:ln>
          </c:spPr>
          <c:extLst>
            <c:ext xmlns:c14="http://schemas.microsoft.com/office/drawing/2007/8/2/chart" uri="{6F2FDCE9-48DA-4B69-8628-5D25D57E5C99}">
              <c14:invertSolidFillFmt>
                <c14:spPr>
                  <a:solidFill>
                    <a:srgbClr val="000000"/>
                  </a:solidFill>
                </c14:spPr>
              </c14:invertSolidFillFmt>
            </c:ext>
          </c:extLst>
          <c:marker>
            <c:symbol val="star"/>
            <c:size val="10"/>
            <c:spPr>
              <a:noFill/>
              <a:ln>
                <a:solidFill>
                  <a:srgbClr val="FFCC00"/>
                </a:solidFill>
              </a:ln>
            </c:spPr>
          </c:marker>
          <c:val>
            <c:numRef>
              <c:f>'compare counties'!$AD$170:$AL$170</c:f>
              <c:numCache/>
            </c:numRef>
          </c:val>
          <c:smooth val="0"/>
        </c:ser>
        <c:hiLowLines>
          <c:spPr>
            <a:ln w="12700">
              <a:solidFill>
                <a:srgbClr val="99CCFF"/>
              </a:solidFill>
            </a:ln>
          </c:spPr>
        </c:hiLowLines>
        <c:marker val="1"/>
        <c:axId val="27055175"/>
        <c:axId val="42169984"/>
      </c:lineChart>
      <c:catAx>
        <c:axId val="27055175"/>
        <c:scaling>
          <c:orientation val="minMax"/>
        </c:scaling>
        <c:axPos val="b"/>
        <c:delete val="0"/>
        <c:numFmt formatCode="General" sourceLinked="1"/>
        <c:majorTickMark val="none"/>
        <c:minorTickMark val="none"/>
        <c:tickLblPos val="nextTo"/>
        <c:spPr>
          <a:ln w="12700">
            <a:noFill/>
          </a:ln>
        </c:spPr>
        <c:crossAx val="42169984"/>
        <c:crosses val="autoZero"/>
        <c:auto val="0"/>
        <c:lblOffset val="100"/>
        <c:noMultiLvlLbl val="0"/>
      </c:catAx>
      <c:valAx>
        <c:axId val="42169984"/>
        <c:scaling>
          <c:orientation val="minMax"/>
          <c:max val="6"/>
        </c:scaling>
        <c:axPos val="l"/>
        <c:title>
          <c:tx>
            <c:rich>
              <a:bodyPr vert="horz" rot="-5400000" anchor="ctr"/>
              <a:lstStyle/>
              <a:p>
                <a:pPr algn="ctr">
                  <a:defRPr/>
                </a:pPr>
                <a:r>
                  <a:rPr lang="en-US" cap="none" sz="1400" b="1" i="0" u="none" baseline="0">
                    <a:solidFill>
                      <a:srgbClr val="000000"/>
                    </a:solidFill>
                  </a:rPr>
                  <a:t>RRI Values</a:t>
                </a:r>
              </a:p>
            </c:rich>
          </c:tx>
          <c:layout/>
          <c:overlay val="0"/>
          <c:spPr>
            <a:noFill/>
            <a:ln>
              <a:noFill/>
            </a:ln>
          </c:spPr>
        </c:title>
        <c:majorGridlines>
          <c:spPr>
            <a:ln w="12700">
              <a:solidFill>
                <a:srgbClr val="000000"/>
              </a:solidFill>
            </a:ln>
          </c:spPr>
        </c:majorGridlines>
        <c:delete val="0"/>
        <c:numFmt formatCode="General" sourceLinked="1"/>
        <c:majorTickMark val="none"/>
        <c:minorTickMark val="none"/>
        <c:tickLblPos val="nextTo"/>
        <c:spPr>
          <a:ln w="12700">
            <a:noFill/>
          </a:ln>
        </c:spPr>
        <c:crossAx val="27055175"/>
        <c:crosses val="autoZero"/>
        <c:crossBetween val="between"/>
        <c:dispUnits/>
      </c:valAx>
      <c:dTable>
        <c:showHorzBorder val="1"/>
        <c:showVertBorder val="1"/>
        <c:showOutline val="1"/>
        <c:showKeys val="1"/>
        <c:spPr>
          <a:ln w="12700">
            <a:solidFill>
              <a:srgbClr val="000000"/>
            </a:solidFill>
          </a:ln>
        </c:spPr>
        <c:txPr>
          <a:bodyPr vert="horz" rot="0"/>
          <a:lstStyle/>
          <a:p>
            <a:pPr>
              <a:defRPr lang="en-US" cap="none" sz="1000" b="1" i="0" u="none" baseline="0">
                <a:solidFill>
                  <a:srgbClr val="000000"/>
                </a:solidFill>
              </a:defRPr>
            </a:pPr>
          </a:p>
        </c:txPr>
      </c:dTable>
      <c:spPr>
        <a:ln w="3175">
          <a:noFill/>
        </a:ln>
      </c:spPr>
    </c:plotArea>
    <c:plotVisOnly val="1"/>
    <c:dispBlanksAs val="gap"/>
    <c:showDLblsOverMax val="0"/>
  </c:chart>
  <c:spPr>
    <a:ln w="12700">
      <a:solidFill>
        <a:srgbClr val="000000"/>
      </a:solidFill>
    </a:ln>
  </c:spPr>
  <c:txPr>
    <a:bodyPr vert="horz" rot="0"/>
    <a:lstStyle/>
    <a:p>
      <a:pPr>
        <a:defRPr lang="en-US" cap="none" sz="1400" b="1"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80" b="1" i="0" u="none" baseline="0"/>
              <a:t>Comparison to RRI </a:t>
            </a:r>
            <a:r>
              <a:rPr lang="en-US" cap="none" sz="1680" b="1" i="0" u="none" baseline="0">
                <a:solidFill>
                  <a:srgbClr val="000000"/>
                </a:solidFill>
              </a:rPr>
              <a:t>Range for Native American Youth, All Reporting Counties</a:t>
            </a:r>
          </a:p>
        </c:rich>
      </c:tx>
      <c:layout/>
      <c:spPr>
        <a:noFill/>
        <a:ln>
          <a:noFill/>
        </a:ln>
      </c:spPr>
    </c:title>
    <c:plotArea>
      <c:layout/>
      <c:lineChart>
        <c:grouping val="standard"/>
        <c:varyColors val="0"/>
        <c:ser>
          <c:idx val="0"/>
          <c:order val="0"/>
          <c:tx>
            <c:v>75th percentile</c:v>
          </c:tx>
          <c:spPr>
            <a:ln w="25400">
              <a:noFill/>
            </a:ln>
          </c:spPr>
          <c:extLst>
            <c:ext xmlns:c14="http://schemas.microsoft.com/office/drawing/2007/8/2/chart" uri="{6F2FDCE9-48DA-4B69-8628-5D25D57E5C99}">
              <c14:invertSolidFillFmt>
                <c14:spPr>
                  <a:solidFill>
                    <a:srgbClr val="000000"/>
                  </a:solidFill>
                </c14:spPr>
              </c14:invertSolidFillFmt>
            </c:ext>
          </c:extLst>
          <c:marker>
            <c:symbol val="dash"/>
            <c:size val="8"/>
            <c:spPr>
              <a:solidFill>
                <a:srgbClr val="FF0000"/>
              </a:solidFill>
              <a:ln>
                <a:solidFill>
                  <a:srgbClr val="FF0000"/>
                </a:solidFill>
              </a:ln>
            </c:spPr>
          </c:marker>
          <c:val>
            <c:numRef>
              <c:f>'compare counties'!$AM$167:$AU$167</c:f>
              <c:numCache/>
            </c:numRef>
          </c:val>
          <c:smooth val="0"/>
        </c:ser>
        <c:ser>
          <c:idx val="1"/>
          <c:order val="1"/>
          <c:tx>
            <c:v>25th percentile</c:v>
          </c:tx>
          <c:spPr>
            <a:ln w="25400">
              <a:noFill/>
            </a:ln>
          </c:spPr>
          <c:extLst>
            <c:ext xmlns:c14="http://schemas.microsoft.com/office/drawing/2007/8/2/chart" uri="{6F2FDCE9-48DA-4B69-8628-5D25D57E5C99}">
              <c14:invertSolidFillFmt>
                <c14:spPr>
                  <a:solidFill>
                    <a:srgbClr val="000000"/>
                  </a:solidFill>
                </c14:spPr>
              </c14:invertSolidFillFmt>
            </c:ext>
          </c:extLst>
          <c:marker>
            <c:symbol val="dash"/>
            <c:size val="10"/>
            <c:spPr>
              <a:solidFill>
                <a:srgbClr val="0066CC"/>
              </a:solidFill>
              <a:ln>
                <a:solidFill>
                  <a:srgbClr val="0066CC"/>
                </a:solidFill>
              </a:ln>
            </c:spPr>
          </c:marker>
          <c:val>
            <c:numRef>
              <c:f>'compare counties'!$AM$168:$AU$168</c:f>
              <c:numCache/>
            </c:numRef>
          </c:val>
          <c:smooth val="0"/>
        </c:ser>
        <c:ser>
          <c:idx val="2"/>
          <c:order val="2"/>
          <c:tx>
            <c:v>Median</c:v>
          </c:tx>
          <c:spPr>
            <a:ln w="25400">
              <a:no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969696"/>
              </a:solidFill>
              <a:ln>
                <a:solidFill>
                  <a:srgbClr val="969696"/>
                </a:solidFill>
              </a:ln>
            </c:spPr>
          </c:marker>
          <c:val>
            <c:numRef>
              <c:f>'compare counties'!$AM$169:$AU$169</c:f>
              <c:numCache/>
            </c:numRef>
          </c:val>
          <c:smooth val="0"/>
        </c:ser>
        <c:ser>
          <c:idx val="3"/>
          <c:order val="3"/>
          <c:tx>
            <c:strRef>
              <c:f>'compare counties'!$A$163</c:f>
              <c:strCache>
                <c:ptCount val="1"/>
                <c:pt idx="0">
                  <c:v>County : Statewide</c:v>
                </c:pt>
              </c:strCache>
            </c:strRef>
          </c:tx>
          <c:spPr>
            <a:ln w="25400">
              <a:noFill/>
            </a:ln>
          </c:spPr>
          <c:extLst>
            <c:ext xmlns:c14="http://schemas.microsoft.com/office/drawing/2007/8/2/chart" uri="{6F2FDCE9-48DA-4B69-8628-5D25D57E5C99}">
              <c14:invertSolidFillFmt>
                <c14:spPr>
                  <a:solidFill>
                    <a:srgbClr val="000000"/>
                  </a:solidFill>
                </c14:spPr>
              </c14:invertSolidFillFmt>
            </c:ext>
          </c:extLst>
          <c:marker>
            <c:symbol val="star"/>
            <c:size val="10"/>
            <c:spPr>
              <a:noFill/>
              <a:ln>
                <a:solidFill>
                  <a:srgbClr val="FFCC00"/>
                </a:solidFill>
              </a:ln>
            </c:spPr>
          </c:marker>
          <c:val>
            <c:numRef>
              <c:f>'compare counties'!$AM$170:$AU$170</c:f>
              <c:numCache/>
            </c:numRef>
          </c:val>
          <c:smooth val="0"/>
        </c:ser>
        <c:hiLowLines>
          <c:spPr>
            <a:ln w="12700">
              <a:solidFill>
                <a:srgbClr val="99CCFF"/>
              </a:solidFill>
            </a:ln>
          </c:spPr>
        </c:hiLowLines>
        <c:marker val="1"/>
        <c:axId val="43985537"/>
        <c:axId val="60325514"/>
      </c:lineChart>
      <c:catAx>
        <c:axId val="43985537"/>
        <c:scaling>
          <c:orientation val="minMax"/>
        </c:scaling>
        <c:axPos val="b"/>
        <c:delete val="0"/>
        <c:numFmt formatCode="General" sourceLinked="1"/>
        <c:majorTickMark val="none"/>
        <c:minorTickMark val="none"/>
        <c:tickLblPos val="nextTo"/>
        <c:spPr>
          <a:ln w="12700">
            <a:noFill/>
          </a:ln>
        </c:spPr>
        <c:crossAx val="60325514"/>
        <c:crosses val="autoZero"/>
        <c:auto val="0"/>
        <c:lblOffset val="100"/>
        <c:noMultiLvlLbl val="0"/>
      </c:catAx>
      <c:valAx>
        <c:axId val="60325514"/>
        <c:scaling>
          <c:orientation val="minMax"/>
        </c:scaling>
        <c:axPos val="l"/>
        <c:title>
          <c:tx>
            <c:rich>
              <a:bodyPr vert="horz" rot="-5400000" anchor="ctr"/>
              <a:lstStyle/>
              <a:p>
                <a:pPr algn="ctr">
                  <a:defRPr/>
                </a:pPr>
                <a:r>
                  <a:rPr lang="en-US" cap="none" sz="1400" b="1" i="0" u="none" baseline="0">
                    <a:solidFill>
                      <a:srgbClr val="000000"/>
                    </a:solidFill>
                  </a:rPr>
                  <a:t>RRI Values</a:t>
                </a:r>
              </a:p>
            </c:rich>
          </c:tx>
          <c:layout/>
          <c:overlay val="0"/>
          <c:spPr>
            <a:noFill/>
            <a:ln>
              <a:noFill/>
            </a:ln>
          </c:spPr>
        </c:title>
        <c:majorGridlines>
          <c:spPr>
            <a:ln w="12700">
              <a:solidFill>
                <a:srgbClr val="000000"/>
              </a:solidFill>
            </a:ln>
          </c:spPr>
        </c:majorGridlines>
        <c:delete val="0"/>
        <c:numFmt formatCode="General" sourceLinked="1"/>
        <c:majorTickMark val="none"/>
        <c:minorTickMark val="none"/>
        <c:tickLblPos val="nextTo"/>
        <c:spPr>
          <a:ln w="12700">
            <a:noFill/>
          </a:ln>
        </c:spPr>
        <c:crossAx val="43985537"/>
        <c:crosses val="autoZero"/>
        <c:crossBetween val="between"/>
        <c:dispUnits/>
      </c:valAx>
      <c:dTable>
        <c:showHorzBorder val="1"/>
        <c:showVertBorder val="1"/>
        <c:showOutline val="1"/>
        <c:showKeys val="1"/>
        <c:spPr>
          <a:ln w="12700">
            <a:solidFill>
              <a:srgbClr val="000000"/>
            </a:solidFill>
          </a:ln>
        </c:spPr>
        <c:txPr>
          <a:bodyPr vert="horz" rot="0"/>
          <a:lstStyle/>
          <a:p>
            <a:pPr>
              <a:defRPr lang="en-US" cap="none" sz="1000" b="1" i="0" u="none" baseline="0">
                <a:solidFill>
                  <a:srgbClr val="000000"/>
                </a:solidFill>
              </a:defRPr>
            </a:pPr>
          </a:p>
        </c:txPr>
      </c:dTable>
      <c:spPr>
        <a:ln w="3175">
          <a:noFill/>
        </a:ln>
      </c:spPr>
    </c:plotArea>
    <c:plotVisOnly val="1"/>
    <c:dispBlanksAs val="gap"/>
    <c:showDLblsOverMax val="0"/>
  </c:chart>
  <c:spPr>
    <a:ln w="12700">
      <a:solidFill>
        <a:srgbClr val="000000"/>
      </a:solidFill>
    </a:ln>
  </c:spPr>
  <c:txPr>
    <a:bodyPr vert="horz" rot="0"/>
    <a:lstStyle/>
    <a:p>
      <a:pPr>
        <a:defRPr lang="en-US" cap="none" sz="1400" b="1"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80" b="1" i="0" u="none" baseline="0"/>
              <a:t>Comparison to RRI </a:t>
            </a:r>
            <a:r>
              <a:rPr lang="en-US" cap="none" sz="1680" b="1" i="0" u="none" baseline="0">
                <a:solidFill>
                  <a:srgbClr val="000000"/>
                </a:solidFill>
              </a:rPr>
              <a:t>Range for Other / Mixed Youth, All Reporting Counties</a:t>
            </a:r>
          </a:p>
        </c:rich>
      </c:tx>
      <c:layout/>
      <c:spPr>
        <a:noFill/>
        <a:ln>
          <a:noFill/>
        </a:ln>
      </c:spPr>
    </c:title>
    <c:plotArea>
      <c:layout/>
      <c:lineChart>
        <c:grouping val="standard"/>
        <c:varyColors val="0"/>
        <c:ser>
          <c:idx val="0"/>
          <c:order val="0"/>
          <c:tx>
            <c:v>75th percentile</c:v>
          </c:tx>
          <c:spPr>
            <a:ln w="25400">
              <a:noFill/>
            </a:ln>
          </c:spPr>
          <c:extLst>
            <c:ext xmlns:c14="http://schemas.microsoft.com/office/drawing/2007/8/2/chart" uri="{6F2FDCE9-48DA-4B69-8628-5D25D57E5C99}">
              <c14:invertSolidFillFmt>
                <c14:spPr>
                  <a:solidFill>
                    <a:srgbClr val="000000"/>
                  </a:solidFill>
                </c14:spPr>
              </c14:invertSolidFillFmt>
            </c:ext>
          </c:extLst>
          <c:marker>
            <c:symbol val="dash"/>
            <c:size val="8"/>
            <c:spPr>
              <a:solidFill>
                <a:srgbClr val="FF0000"/>
              </a:solidFill>
              <a:ln>
                <a:solidFill>
                  <a:srgbClr val="FF0000"/>
                </a:solidFill>
              </a:ln>
            </c:spPr>
          </c:marker>
          <c:val>
            <c:numRef>
              <c:f>'compare counties'!$AV$167:$BD$167</c:f>
              <c:numCache/>
            </c:numRef>
          </c:val>
          <c:smooth val="0"/>
        </c:ser>
        <c:ser>
          <c:idx val="1"/>
          <c:order val="1"/>
          <c:tx>
            <c:v>25th percentile</c:v>
          </c:tx>
          <c:spPr>
            <a:ln w="25400">
              <a:noFill/>
            </a:ln>
          </c:spPr>
          <c:extLst>
            <c:ext xmlns:c14="http://schemas.microsoft.com/office/drawing/2007/8/2/chart" uri="{6F2FDCE9-48DA-4B69-8628-5D25D57E5C99}">
              <c14:invertSolidFillFmt>
                <c14:spPr>
                  <a:solidFill>
                    <a:srgbClr val="000000"/>
                  </a:solidFill>
                </c14:spPr>
              </c14:invertSolidFillFmt>
            </c:ext>
          </c:extLst>
          <c:marker>
            <c:symbol val="dash"/>
            <c:size val="10"/>
            <c:spPr>
              <a:solidFill>
                <a:srgbClr val="0066CC"/>
              </a:solidFill>
              <a:ln>
                <a:solidFill>
                  <a:srgbClr val="0066CC"/>
                </a:solidFill>
              </a:ln>
            </c:spPr>
          </c:marker>
          <c:val>
            <c:numRef>
              <c:f>'compare counties'!$AV$168:$BD$168</c:f>
              <c:numCache/>
            </c:numRef>
          </c:val>
          <c:smooth val="0"/>
        </c:ser>
        <c:ser>
          <c:idx val="2"/>
          <c:order val="2"/>
          <c:tx>
            <c:v>Median</c:v>
          </c:tx>
          <c:spPr>
            <a:ln w="25400">
              <a:no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969696"/>
              </a:solidFill>
              <a:ln>
                <a:solidFill>
                  <a:srgbClr val="969696"/>
                </a:solidFill>
              </a:ln>
            </c:spPr>
          </c:marker>
          <c:val>
            <c:numRef>
              <c:f>'compare counties'!$AV$169:$BD$169</c:f>
              <c:numCache/>
            </c:numRef>
          </c:val>
          <c:smooth val="0"/>
        </c:ser>
        <c:ser>
          <c:idx val="3"/>
          <c:order val="3"/>
          <c:tx>
            <c:strRef>
              <c:f>'compare counties'!$A$163</c:f>
              <c:strCache>
                <c:ptCount val="1"/>
                <c:pt idx="0">
                  <c:v>County : Statewide</c:v>
                </c:pt>
              </c:strCache>
            </c:strRef>
          </c:tx>
          <c:spPr>
            <a:ln w="25400">
              <a:noFill/>
            </a:ln>
          </c:spPr>
          <c:extLst>
            <c:ext xmlns:c14="http://schemas.microsoft.com/office/drawing/2007/8/2/chart" uri="{6F2FDCE9-48DA-4B69-8628-5D25D57E5C99}">
              <c14:invertSolidFillFmt>
                <c14:spPr>
                  <a:solidFill>
                    <a:srgbClr val="000000"/>
                  </a:solidFill>
                </c14:spPr>
              </c14:invertSolidFillFmt>
            </c:ext>
          </c:extLst>
          <c:marker>
            <c:symbol val="star"/>
            <c:size val="10"/>
            <c:spPr>
              <a:noFill/>
              <a:ln>
                <a:solidFill>
                  <a:srgbClr val="FFCC00"/>
                </a:solidFill>
              </a:ln>
            </c:spPr>
          </c:marker>
          <c:val>
            <c:numRef>
              <c:f>'compare counties'!$AV$170:$BD$170</c:f>
              <c:numCache/>
            </c:numRef>
          </c:val>
          <c:smooth val="0"/>
        </c:ser>
        <c:hiLowLines>
          <c:spPr>
            <a:ln w="12700">
              <a:solidFill>
                <a:srgbClr val="99CCFF"/>
              </a:solidFill>
            </a:ln>
          </c:spPr>
        </c:hiLowLines>
        <c:marker val="1"/>
        <c:axId val="6058715"/>
        <c:axId val="54528436"/>
      </c:lineChart>
      <c:catAx>
        <c:axId val="6058715"/>
        <c:scaling>
          <c:orientation val="minMax"/>
        </c:scaling>
        <c:axPos val="b"/>
        <c:delete val="0"/>
        <c:numFmt formatCode="General" sourceLinked="1"/>
        <c:majorTickMark val="none"/>
        <c:minorTickMark val="none"/>
        <c:tickLblPos val="nextTo"/>
        <c:spPr>
          <a:ln w="12700">
            <a:noFill/>
          </a:ln>
        </c:spPr>
        <c:crossAx val="54528436"/>
        <c:crosses val="autoZero"/>
        <c:auto val="0"/>
        <c:lblOffset val="100"/>
        <c:noMultiLvlLbl val="0"/>
      </c:catAx>
      <c:valAx>
        <c:axId val="54528436"/>
        <c:scaling>
          <c:orientation val="minMax"/>
          <c:max val="6"/>
        </c:scaling>
        <c:axPos val="l"/>
        <c:title>
          <c:tx>
            <c:rich>
              <a:bodyPr vert="horz" rot="-5400000" anchor="ctr"/>
              <a:lstStyle/>
              <a:p>
                <a:pPr algn="ctr">
                  <a:defRPr/>
                </a:pPr>
                <a:r>
                  <a:rPr lang="en-US" cap="none" sz="1400" b="1" i="0" u="none" baseline="0">
                    <a:solidFill>
                      <a:srgbClr val="000000"/>
                    </a:solidFill>
                  </a:rPr>
                  <a:t>RRI Values</a:t>
                </a:r>
              </a:p>
            </c:rich>
          </c:tx>
          <c:layout/>
          <c:overlay val="0"/>
          <c:spPr>
            <a:noFill/>
            <a:ln>
              <a:noFill/>
            </a:ln>
          </c:spPr>
        </c:title>
        <c:majorGridlines>
          <c:spPr>
            <a:ln w="12700">
              <a:solidFill>
                <a:srgbClr val="000000"/>
              </a:solidFill>
            </a:ln>
          </c:spPr>
        </c:majorGridlines>
        <c:delete val="0"/>
        <c:numFmt formatCode="General" sourceLinked="1"/>
        <c:majorTickMark val="none"/>
        <c:minorTickMark val="none"/>
        <c:tickLblPos val="nextTo"/>
        <c:spPr>
          <a:ln w="12700">
            <a:noFill/>
          </a:ln>
        </c:spPr>
        <c:crossAx val="6058715"/>
        <c:crosses val="autoZero"/>
        <c:crossBetween val="between"/>
        <c:dispUnits/>
      </c:valAx>
      <c:dTable>
        <c:showHorzBorder val="1"/>
        <c:showVertBorder val="1"/>
        <c:showOutline val="1"/>
        <c:showKeys val="1"/>
        <c:spPr>
          <a:ln w="12700">
            <a:solidFill>
              <a:srgbClr val="000000"/>
            </a:solidFill>
          </a:ln>
        </c:spPr>
        <c:txPr>
          <a:bodyPr vert="horz" rot="0"/>
          <a:lstStyle/>
          <a:p>
            <a:pPr>
              <a:defRPr lang="en-US" cap="none" sz="1000" b="1" i="0" u="none" baseline="0">
                <a:solidFill>
                  <a:srgbClr val="000000"/>
                </a:solidFill>
              </a:defRPr>
            </a:pPr>
          </a:p>
        </c:txPr>
      </c:dTable>
      <c:spPr>
        <a:ln w="3175">
          <a:noFill/>
        </a:ln>
      </c:spPr>
    </c:plotArea>
    <c:plotVisOnly val="1"/>
    <c:dispBlanksAs val="gap"/>
    <c:showDLblsOverMax val="0"/>
  </c:chart>
  <c:spPr>
    <a:ln w="12700">
      <a:solidFill>
        <a:srgbClr val="000000"/>
      </a:solidFill>
    </a:ln>
  </c:spPr>
  <c:txPr>
    <a:bodyPr vert="horz" rot="0"/>
    <a:lstStyle/>
    <a:p>
      <a:pPr>
        <a:defRPr lang="en-US" cap="none" sz="1400" b="1"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80" b="1" i="0" u="none" baseline="0"/>
              <a:t>Comparison to RRI </a:t>
            </a:r>
            <a:r>
              <a:rPr lang="en-US" cap="none" sz="1680" b="1" i="0" u="none" baseline="0">
                <a:solidFill>
                  <a:srgbClr val="000000"/>
                </a:solidFill>
              </a:rPr>
              <a:t>Range for All Minority Youth, All Reporting Counties</a:t>
            </a:r>
          </a:p>
        </c:rich>
      </c:tx>
      <c:layout/>
      <c:spPr>
        <a:noFill/>
        <a:ln>
          <a:noFill/>
        </a:ln>
      </c:spPr>
    </c:title>
    <c:plotArea>
      <c:layout/>
      <c:lineChart>
        <c:grouping val="standard"/>
        <c:varyColors val="0"/>
        <c:ser>
          <c:idx val="0"/>
          <c:order val="0"/>
          <c:tx>
            <c:v>75th percentile</c:v>
          </c:tx>
          <c:spPr>
            <a:ln w="25400">
              <a:noFill/>
            </a:ln>
          </c:spPr>
          <c:extLst>
            <c:ext xmlns:c14="http://schemas.microsoft.com/office/drawing/2007/8/2/chart" uri="{6F2FDCE9-48DA-4B69-8628-5D25D57E5C99}">
              <c14:invertSolidFillFmt>
                <c14:spPr>
                  <a:solidFill>
                    <a:srgbClr val="000000"/>
                  </a:solidFill>
                </c14:spPr>
              </c14:invertSolidFillFmt>
            </c:ext>
          </c:extLst>
          <c:marker>
            <c:symbol val="dash"/>
            <c:size val="8"/>
            <c:spPr>
              <a:solidFill>
                <a:srgbClr val="FF0000"/>
              </a:solidFill>
              <a:ln>
                <a:solidFill>
                  <a:srgbClr val="FF0000"/>
                </a:solidFill>
              </a:ln>
            </c:spPr>
          </c:marker>
          <c:val>
            <c:numRef>
              <c:f>'compare counties'!$BE$167:$BM$167</c:f>
              <c:numCache/>
            </c:numRef>
          </c:val>
          <c:smooth val="0"/>
        </c:ser>
        <c:ser>
          <c:idx val="1"/>
          <c:order val="1"/>
          <c:tx>
            <c:v>25th percentile</c:v>
          </c:tx>
          <c:spPr>
            <a:ln w="25400">
              <a:noFill/>
            </a:ln>
          </c:spPr>
          <c:extLst>
            <c:ext xmlns:c14="http://schemas.microsoft.com/office/drawing/2007/8/2/chart" uri="{6F2FDCE9-48DA-4B69-8628-5D25D57E5C99}">
              <c14:invertSolidFillFmt>
                <c14:spPr>
                  <a:solidFill>
                    <a:srgbClr val="000000"/>
                  </a:solidFill>
                </c14:spPr>
              </c14:invertSolidFillFmt>
            </c:ext>
          </c:extLst>
          <c:marker>
            <c:symbol val="dash"/>
            <c:size val="10"/>
            <c:spPr>
              <a:solidFill>
                <a:srgbClr val="0066CC"/>
              </a:solidFill>
              <a:ln>
                <a:solidFill>
                  <a:srgbClr val="0066CC"/>
                </a:solidFill>
              </a:ln>
            </c:spPr>
          </c:marker>
          <c:val>
            <c:numRef>
              <c:f>'compare counties'!$BE$168:$BM$168</c:f>
              <c:numCache/>
            </c:numRef>
          </c:val>
          <c:smooth val="0"/>
        </c:ser>
        <c:ser>
          <c:idx val="2"/>
          <c:order val="2"/>
          <c:tx>
            <c:v>Median</c:v>
          </c:tx>
          <c:spPr>
            <a:ln w="25400">
              <a:no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969696"/>
              </a:solidFill>
              <a:ln>
                <a:solidFill>
                  <a:srgbClr val="969696"/>
                </a:solidFill>
              </a:ln>
            </c:spPr>
          </c:marker>
          <c:val>
            <c:numRef>
              <c:f>'compare counties'!$BE$169:$BM$169</c:f>
              <c:numCache/>
            </c:numRef>
          </c:val>
          <c:smooth val="0"/>
        </c:ser>
        <c:ser>
          <c:idx val="3"/>
          <c:order val="3"/>
          <c:tx>
            <c:strRef>
              <c:f>'compare counties'!$A$163</c:f>
              <c:strCache>
                <c:ptCount val="1"/>
                <c:pt idx="0">
                  <c:v>County : Statewide</c:v>
                </c:pt>
              </c:strCache>
            </c:strRef>
          </c:tx>
          <c:spPr>
            <a:ln w="25400">
              <a:noFill/>
            </a:ln>
          </c:spPr>
          <c:extLst>
            <c:ext xmlns:c14="http://schemas.microsoft.com/office/drawing/2007/8/2/chart" uri="{6F2FDCE9-48DA-4B69-8628-5D25D57E5C99}">
              <c14:invertSolidFillFmt>
                <c14:spPr>
                  <a:solidFill>
                    <a:srgbClr val="000000"/>
                  </a:solidFill>
                </c14:spPr>
              </c14:invertSolidFillFmt>
            </c:ext>
          </c:extLst>
          <c:marker>
            <c:symbol val="star"/>
            <c:size val="10"/>
            <c:spPr>
              <a:noFill/>
              <a:ln>
                <a:solidFill>
                  <a:srgbClr val="FFCC00"/>
                </a:solidFill>
              </a:ln>
            </c:spPr>
          </c:marker>
          <c:val>
            <c:numRef>
              <c:f>'compare counties'!$BE$170:$BM$170</c:f>
              <c:numCache/>
            </c:numRef>
          </c:val>
          <c:smooth val="0"/>
        </c:ser>
        <c:hiLowLines>
          <c:spPr>
            <a:ln w="12700">
              <a:solidFill>
                <a:srgbClr val="99CCFF"/>
              </a:solidFill>
            </a:ln>
          </c:spPr>
        </c:hiLowLines>
        <c:marker val="1"/>
        <c:axId val="20993877"/>
        <c:axId val="54727166"/>
      </c:lineChart>
      <c:catAx>
        <c:axId val="20993877"/>
        <c:scaling>
          <c:orientation val="minMax"/>
        </c:scaling>
        <c:axPos val="b"/>
        <c:delete val="0"/>
        <c:numFmt formatCode="General" sourceLinked="1"/>
        <c:majorTickMark val="none"/>
        <c:minorTickMark val="none"/>
        <c:tickLblPos val="nextTo"/>
        <c:spPr>
          <a:ln w="12700">
            <a:noFill/>
          </a:ln>
        </c:spPr>
        <c:crossAx val="54727166"/>
        <c:crosses val="autoZero"/>
        <c:auto val="0"/>
        <c:lblOffset val="100"/>
        <c:noMultiLvlLbl val="0"/>
      </c:catAx>
      <c:valAx>
        <c:axId val="54727166"/>
        <c:scaling>
          <c:orientation val="minMax"/>
          <c:max val="6"/>
          <c:min val="0"/>
        </c:scaling>
        <c:axPos val="l"/>
        <c:title>
          <c:tx>
            <c:rich>
              <a:bodyPr vert="horz" rot="-5400000" anchor="ctr"/>
              <a:lstStyle/>
              <a:p>
                <a:pPr algn="ctr">
                  <a:defRPr/>
                </a:pPr>
                <a:r>
                  <a:rPr lang="en-US" cap="none" sz="1400" b="1" i="0" u="none" baseline="0">
                    <a:solidFill>
                      <a:srgbClr val="000000"/>
                    </a:solidFill>
                  </a:rPr>
                  <a:t>RRI Values</a:t>
                </a:r>
              </a:p>
            </c:rich>
          </c:tx>
          <c:layout/>
          <c:overlay val="0"/>
          <c:spPr>
            <a:noFill/>
            <a:ln>
              <a:noFill/>
            </a:ln>
          </c:spPr>
        </c:title>
        <c:majorGridlines>
          <c:spPr>
            <a:ln w="12700">
              <a:solidFill>
                <a:srgbClr val="000000"/>
              </a:solidFill>
            </a:ln>
          </c:spPr>
        </c:majorGridlines>
        <c:delete val="0"/>
        <c:numFmt formatCode="General" sourceLinked="1"/>
        <c:majorTickMark val="none"/>
        <c:minorTickMark val="none"/>
        <c:tickLblPos val="nextTo"/>
        <c:spPr>
          <a:ln w="12700">
            <a:noFill/>
          </a:ln>
        </c:spPr>
        <c:crossAx val="20993877"/>
        <c:crosses val="autoZero"/>
        <c:crossBetween val="between"/>
        <c:dispUnits/>
      </c:valAx>
      <c:dTable>
        <c:showHorzBorder val="1"/>
        <c:showVertBorder val="1"/>
        <c:showOutline val="1"/>
        <c:showKeys val="1"/>
        <c:spPr>
          <a:ln w="12700">
            <a:solidFill>
              <a:srgbClr val="000000"/>
            </a:solidFill>
          </a:ln>
        </c:spPr>
        <c:txPr>
          <a:bodyPr vert="horz" rot="0"/>
          <a:lstStyle/>
          <a:p>
            <a:pPr>
              <a:defRPr lang="en-US" cap="none" sz="1000" b="1" i="0" u="none" baseline="0">
                <a:solidFill>
                  <a:srgbClr val="000000"/>
                </a:solidFill>
              </a:defRPr>
            </a:pPr>
          </a:p>
        </c:txPr>
      </c:dTable>
      <c:spPr>
        <a:ln w="3175">
          <a:noFill/>
        </a:ln>
      </c:spPr>
    </c:plotArea>
    <c:plotVisOnly val="1"/>
    <c:dispBlanksAs val="gap"/>
    <c:showDLblsOverMax val="0"/>
  </c:chart>
  <c:spPr>
    <a:ln w="12700">
      <a:solidFill>
        <a:srgbClr val="000000"/>
      </a:solidFill>
    </a:ln>
  </c:spPr>
  <c:txPr>
    <a:bodyPr vert="horz" rot="0"/>
    <a:lstStyle/>
    <a:p>
      <a:pPr>
        <a:defRPr lang="en-US" cap="none" sz="1400" b="1"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80" b="1" i="0" u="none" baseline="0"/>
              <a:t>Comparison to RRI </a:t>
            </a:r>
            <a:r>
              <a:rPr lang="en-US" cap="none" sz="1680" b="1" i="0" u="none" baseline="0">
                <a:solidFill>
                  <a:srgbClr val="000000"/>
                </a:solidFill>
              </a:rPr>
              <a:t>Range  for Hispanic Youth, All Reporting Counties</a:t>
            </a:r>
          </a:p>
        </c:rich>
      </c:tx>
      <c:layout/>
      <c:spPr>
        <a:noFill/>
        <a:ln>
          <a:noFill/>
        </a:ln>
      </c:spPr>
    </c:title>
    <c:plotArea>
      <c:layout/>
      <c:lineChart>
        <c:grouping val="standard"/>
        <c:varyColors val="0"/>
        <c:ser>
          <c:idx val="0"/>
          <c:order val="0"/>
          <c:tx>
            <c:v>75th percentile</c:v>
          </c:tx>
          <c:spPr>
            <a:ln w="25400">
              <a:noFill/>
            </a:ln>
          </c:spPr>
          <c:extLst>
            <c:ext xmlns:c14="http://schemas.microsoft.com/office/drawing/2007/8/2/chart" uri="{6F2FDCE9-48DA-4B69-8628-5D25D57E5C99}">
              <c14:invertSolidFillFmt>
                <c14:spPr>
                  <a:solidFill>
                    <a:srgbClr val="000000"/>
                  </a:solidFill>
                </c14:spPr>
              </c14:invertSolidFillFmt>
            </c:ext>
          </c:extLst>
          <c:marker>
            <c:symbol val="dash"/>
            <c:size val="8"/>
            <c:spPr>
              <a:solidFill>
                <a:srgbClr val="FF0000"/>
              </a:solidFill>
              <a:ln>
                <a:solidFill>
                  <a:srgbClr val="FF0000"/>
                </a:solidFill>
              </a:ln>
            </c:spPr>
          </c:marker>
          <c:val>
            <c:numRef>
              <c:f>'compare States'!$L$190:$T$190</c:f>
              <c:numCache/>
            </c:numRef>
          </c:val>
          <c:smooth val="0"/>
        </c:ser>
        <c:ser>
          <c:idx val="1"/>
          <c:order val="1"/>
          <c:tx>
            <c:v>25th percentile</c:v>
          </c:tx>
          <c:spPr>
            <a:ln w="25400">
              <a:noFill/>
            </a:ln>
          </c:spPr>
          <c:extLst>
            <c:ext xmlns:c14="http://schemas.microsoft.com/office/drawing/2007/8/2/chart" uri="{6F2FDCE9-48DA-4B69-8628-5D25D57E5C99}">
              <c14:invertSolidFillFmt>
                <c14:spPr>
                  <a:solidFill>
                    <a:srgbClr val="000000"/>
                  </a:solidFill>
                </c14:spPr>
              </c14:invertSolidFillFmt>
            </c:ext>
          </c:extLst>
          <c:marker>
            <c:symbol val="dash"/>
            <c:size val="10"/>
            <c:spPr>
              <a:solidFill>
                <a:srgbClr val="0066CC"/>
              </a:solidFill>
              <a:ln>
                <a:solidFill>
                  <a:srgbClr val="0066CC"/>
                </a:solidFill>
              </a:ln>
            </c:spPr>
          </c:marker>
          <c:val>
            <c:numRef>
              <c:f>'compare States'!$L$191:$T$191</c:f>
              <c:numCache/>
            </c:numRef>
          </c:val>
          <c:smooth val="0"/>
        </c:ser>
        <c:ser>
          <c:idx val="2"/>
          <c:order val="2"/>
          <c:tx>
            <c:v>Median</c:v>
          </c:tx>
          <c:spPr>
            <a:ln w="25400">
              <a:no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969696"/>
              </a:solidFill>
              <a:ln>
                <a:solidFill>
                  <a:srgbClr val="969696"/>
                </a:solidFill>
              </a:ln>
            </c:spPr>
          </c:marker>
          <c:val>
            <c:numRef>
              <c:f>'compare States'!$L$192:$T$192</c:f>
              <c:numCache/>
            </c:numRef>
          </c:val>
          <c:smooth val="0"/>
        </c:ser>
        <c:ser>
          <c:idx val="3"/>
          <c:order val="3"/>
          <c:tx>
            <c:strRef>
              <c:f>'compare States'!$A$186</c:f>
              <c:strCache>
                <c:ptCount val="1"/>
                <c:pt idx="0">
                  <c:v>State : Virginia</c:v>
                </c:pt>
              </c:strCache>
            </c:strRef>
          </c:tx>
          <c:spPr>
            <a:ln w="25400">
              <a:noFill/>
            </a:ln>
          </c:spPr>
          <c:extLst>
            <c:ext xmlns:c14="http://schemas.microsoft.com/office/drawing/2007/8/2/chart" uri="{6F2FDCE9-48DA-4B69-8628-5D25D57E5C99}">
              <c14:invertSolidFillFmt>
                <c14:spPr>
                  <a:solidFill>
                    <a:srgbClr val="000000"/>
                  </a:solidFill>
                </c14:spPr>
              </c14:invertSolidFillFmt>
            </c:ext>
          </c:extLst>
          <c:marker>
            <c:symbol val="star"/>
            <c:size val="10"/>
            <c:spPr>
              <a:noFill/>
              <a:ln>
                <a:solidFill>
                  <a:srgbClr val="FFCC00"/>
                </a:solidFill>
              </a:ln>
            </c:spPr>
          </c:marker>
          <c:val>
            <c:numRef>
              <c:f>'compare States'!$L$193:$T$193</c:f>
              <c:numCache/>
            </c:numRef>
          </c:val>
          <c:smooth val="0"/>
        </c:ser>
        <c:hiLowLines>
          <c:spPr>
            <a:ln w="12700">
              <a:solidFill>
                <a:srgbClr val="99CCFF"/>
              </a:solidFill>
            </a:ln>
          </c:spPr>
        </c:hiLowLines>
        <c:marker val="1"/>
        <c:axId val="22782447"/>
        <c:axId val="3715432"/>
      </c:lineChart>
      <c:catAx>
        <c:axId val="22782447"/>
        <c:scaling>
          <c:orientation val="minMax"/>
        </c:scaling>
        <c:axPos val="b"/>
        <c:delete val="0"/>
        <c:numFmt formatCode="General" sourceLinked="1"/>
        <c:majorTickMark val="none"/>
        <c:minorTickMark val="none"/>
        <c:tickLblPos val="nextTo"/>
        <c:spPr>
          <a:ln w="12700">
            <a:noFill/>
          </a:ln>
        </c:spPr>
        <c:crossAx val="3715432"/>
        <c:crosses val="autoZero"/>
        <c:auto val="0"/>
        <c:lblOffset val="100"/>
        <c:noMultiLvlLbl val="0"/>
      </c:catAx>
      <c:valAx>
        <c:axId val="3715432"/>
        <c:scaling>
          <c:orientation val="minMax"/>
        </c:scaling>
        <c:axPos val="l"/>
        <c:title>
          <c:tx>
            <c:rich>
              <a:bodyPr vert="horz" rot="-5400000" anchor="ctr"/>
              <a:lstStyle/>
              <a:p>
                <a:pPr algn="ctr">
                  <a:defRPr/>
                </a:pPr>
                <a:r>
                  <a:rPr lang="en-US" cap="none" sz="1400" b="1" i="0" u="none" baseline="0">
                    <a:solidFill>
                      <a:srgbClr val="000000"/>
                    </a:solidFill>
                  </a:rPr>
                  <a:t>RRI Values</a:t>
                </a:r>
              </a:p>
            </c:rich>
          </c:tx>
          <c:layout/>
          <c:overlay val="0"/>
          <c:spPr>
            <a:noFill/>
            <a:ln>
              <a:noFill/>
            </a:ln>
          </c:spPr>
        </c:title>
        <c:majorGridlines>
          <c:spPr>
            <a:ln w="12700">
              <a:solidFill>
                <a:srgbClr val="000000"/>
              </a:solidFill>
            </a:ln>
          </c:spPr>
        </c:majorGridlines>
        <c:delete val="0"/>
        <c:numFmt formatCode="General" sourceLinked="1"/>
        <c:majorTickMark val="none"/>
        <c:minorTickMark val="none"/>
        <c:tickLblPos val="nextTo"/>
        <c:spPr>
          <a:ln w="12700">
            <a:noFill/>
          </a:ln>
        </c:spPr>
        <c:crossAx val="22782447"/>
        <c:crosses val="autoZero"/>
        <c:crossBetween val="between"/>
        <c:dispUnits/>
      </c:valAx>
      <c:dTable>
        <c:showHorzBorder val="1"/>
        <c:showVertBorder val="1"/>
        <c:showOutline val="1"/>
        <c:showKeys val="1"/>
        <c:spPr>
          <a:ln w="12700">
            <a:solidFill>
              <a:srgbClr val="000000"/>
            </a:solidFill>
          </a:ln>
        </c:spPr>
        <c:txPr>
          <a:bodyPr vert="horz" rot="0"/>
          <a:lstStyle/>
          <a:p>
            <a:pPr>
              <a:defRPr lang="en-US" cap="none" sz="1000" b="1" i="0" u="none" baseline="0">
                <a:solidFill>
                  <a:srgbClr val="000000"/>
                </a:solidFill>
              </a:defRPr>
            </a:pPr>
          </a:p>
        </c:txPr>
      </c:dTable>
      <c:spPr>
        <a:ln w="3175">
          <a:noFill/>
        </a:ln>
      </c:spPr>
    </c:plotArea>
    <c:plotVisOnly val="1"/>
    <c:dispBlanksAs val="gap"/>
    <c:showDLblsOverMax val="0"/>
  </c:chart>
  <c:spPr>
    <a:ln w="12700">
      <a:solidFill>
        <a:srgbClr val="000000"/>
      </a:solidFill>
    </a:ln>
  </c:spPr>
  <c:txPr>
    <a:bodyPr vert="horz" rot="0"/>
    <a:lstStyle/>
    <a:p>
      <a:pPr>
        <a:defRPr lang="en-US" cap="none" sz="1400" b="1"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Comparison to RRI Range for Black Youth, All Reporting Counties</a:t>
            </a:r>
          </a:p>
        </c:rich>
      </c:tx>
      <c:layout/>
      <c:spPr>
        <a:noFill/>
        <a:ln>
          <a:noFill/>
        </a:ln>
      </c:spPr>
    </c:title>
    <c:plotArea>
      <c:layout/>
      <c:lineChart>
        <c:grouping val="standard"/>
        <c:varyColors val="0"/>
        <c:ser>
          <c:idx val="0"/>
          <c:order val="0"/>
          <c:tx>
            <c:v>75th percentile</c:v>
          </c:tx>
          <c:spPr>
            <a:ln w="25400">
              <a:noFill/>
            </a:ln>
          </c:spPr>
          <c:extLst>
            <c:ext xmlns:c14="http://schemas.microsoft.com/office/drawing/2007/8/2/chart" uri="{6F2FDCE9-48DA-4B69-8628-5D25D57E5C99}">
              <c14:invertSolidFillFmt>
                <c14:spPr>
                  <a:solidFill>
                    <a:srgbClr val="000000"/>
                  </a:solidFill>
                </c14:spPr>
              </c14:invertSolidFillFmt>
            </c:ext>
          </c:extLst>
          <c:marker>
            <c:symbol val="dash"/>
            <c:size val="8"/>
            <c:spPr>
              <a:solidFill>
                <a:srgbClr val="FF0000"/>
              </a:solidFill>
              <a:ln>
                <a:solidFill>
                  <a:srgbClr val="FF0000"/>
                </a:solidFill>
              </a:ln>
            </c:spPr>
          </c:marker>
          <c:val>
            <c:numRef>
              <c:f>'compare States'!$C$190:$K$190</c:f>
              <c:numCache/>
            </c:numRef>
          </c:val>
          <c:smooth val="0"/>
        </c:ser>
        <c:ser>
          <c:idx val="1"/>
          <c:order val="1"/>
          <c:tx>
            <c:v>25th percentile</c:v>
          </c:tx>
          <c:spPr>
            <a:ln w="25400">
              <a:noFill/>
            </a:ln>
          </c:spPr>
          <c:extLst>
            <c:ext xmlns:c14="http://schemas.microsoft.com/office/drawing/2007/8/2/chart" uri="{6F2FDCE9-48DA-4B69-8628-5D25D57E5C99}">
              <c14:invertSolidFillFmt>
                <c14:spPr>
                  <a:solidFill>
                    <a:srgbClr val="000000"/>
                  </a:solidFill>
                </c14:spPr>
              </c14:invertSolidFillFmt>
            </c:ext>
          </c:extLst>
          <c:marker>
            <c:symbol val="dash"/>
            <c:size val="10"/>
            <c:spPr>
              <a:solidFill>
                <a:srgbClr val="0066CC"/>
              </a:solidFill>
              <a:ln>
                <a:solidFill>
                  <a:srgbClr val="0066CC"/>
                </a:solidFill>
              </a:ln>
            </c:spPr>
          </c:marker>
          <c:val>
            <c:numRef>
              <c:f>'compare States'!$C$191:$K$191</c:f>
              <c:numCache/>
            </c:numRef>
          </c:val>
          <c:smooth val="0"/>
        </c:ser>
        <c:ser>
          <c:idx val="2"/>
          <c:order val="2"/>
          <c:tx>
            <c:v>Median</c:v>
          </c:tx>
          <c:spPr>
            <a:ln w="25400">
              <a:no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969696"/>
              </a:solidFill>
              <a:ln>
                <a:solidFill>
                  <a:srgbClr val="969696"/>
                </a:solidFill>
              </a:ln>
            </c:spPr>
          </c:marker>
          <c:val>
            <c:numRef>
              <c:f>'compare States'!$C$192:$K$192</c:f>
              <c:numCache/>
            </c:numRef>
          </c:val>
          <c:smooth val="0"/>
        </c:ser>
        <c:ser>
          <c:idx val="3"/>
          <c:order val="3"/>
          <c:tx>
            <c:strRef>
              <c:f>'compare States'!$A$186</c:f>
              <c:strCache>
                <c:ptCount val="1"/>
                <c:pt idx="0">
                  <c:v>State : Virginia</c:v>
                </c:pt>
              </c:strCache>
            </c:strRef>
          </c:tx>
          <c:spPr>
            <a:ln w="25400">
              <a:noFill/>
            </a:ln>
          </c:spPr>
          <c:extLst>
            <c:ext xmlns:c14="http://schemas.microsoft.com/office/drawing/2007/8/2/chart" uri="{6F2FDCE9-48DA-4B69-8628-5D25D57E5C99}">
              <c14:invertSolidFillFmt>
                <c14:spPr>
                  <a:solidFill>
                    <a:srgbClr val="000000"/>
                  </a:solidFill>
                </c14:spPr>
              </c14:invertSolidFillFmt>
            </c:ext>
          </c:extLst>
          <c:marker>
            <c:symbol val="star"/>
            <c:size val="10"/>
            <c:spPr>
              <a:noFill/>
              <a:ln>
                <a:solidFill>
                  <a:srgbClr val="FFCC00"/>
                </a:solidFill>
              </a:ln>
            </c:spPr>
          </c:marker>
          <c:val>
            <c:numRef>
              <c:f>'compare States'!$C$193:$K$193</c:f>
              <c:numCache/>
            </c:numRef>
          </c:val>
          <c:smooth val="0"/>
        </c:ser>
        <c:hiLowLines>
          <c:spPr>
            <a:ln w="12700">
              <a:solidFill>
                <a:srgbClr val="99CCFF"/>
              </a:solidFill>
            </a:ln>
          </c:spPr>
        </c:hiLowLines>
        <c:marker val="1"/>
        <c:axId val="33438889"/>
        <c:axId val="32514546"/>
      </c:lineChart>
      <c:catAx>
        <c:axId val="33438889"/>
        <c:scaling>
          <c:orientation val="minMax"/>
        </c:scaling>
        <c:axPos val="b"/>
        <c:delete val="0"/>
        <c:numFmt formatCode="General" sourceLinked="1"/>
        <c:majorTickMark val="none"/>
        <c:minorTickMark val="none"/>
        <c:tickLblPos val="nextTo"/>
        <c:spPr>
          <a:ln w="12700">
            <a:noFill/>
          </a:ln>
        </c:spPr>
        <c:crossAx val="32514546"/>
        <c:crosses val="autoZero"/>
        <c:auto val="0"/>
        <c:lblOffset val="100"/>
        <c:noMultiLvlLbl val="0"/>
      </c:catAx>
      <c:valAx>
        <c:axId val="32514546"/>
        <c:scaling>
          <c:orientation val="minMax"/>
        </c:scaling>
        <c:axPos val="l"/>
        <c:title>
          <c:tx>
            <c:rich>
              <a:bodyPr vert="horz" rot="-5400000" anchor="ctr"/>
              <a:lstStyle/>
              <a:p>
                <a:pPr algn="ctr">
                  <a:defRPr/>
                </a:pPr>
                <a:r>
                  <a:rPr lang="en-US" cap="none" sz="1400" b="1" i="0" u="none" baseline="0">
                    <a:solidFill>
                      <a:srgbClr val="000000"/>
                    </a:solidFill>
                  </a:rPr>
                  <a:t>RRI Values</a:t>
                </a:r>
              </a:p>
            </c:rich>
          </c:tx>
          <c:layout/>
          <c:overlay val="0"/>
          <c:spPr>
            <a:noFill/>
            <a:ln>
              <a:noFill/>
            </a:ln>
          </c:spPr>
        </c:title>
        <c:majorGridlines>
          <c:spPr>
            <a:ln w="12700">
              <a:solidFill>
                <a:srgbClr val="000000"/>
              </a:solidFill>
            </a:ln>
          </c:spPr>
        </c:majorGridlines>
        <c:delete val="0"/>
        <c:numFmt formatCode="General" sourceLinked="1"/>
        <c:majorTickMark val="none"/>
        <c:minorTickMark val="none"/>
        <c:tickLblPos val="nextTo"/>
        <c:spPr>
          <a:ln w="12700">
            <a:noFill/>
          </a:ln>
        </c:spPr>
        <c:crossAx val="33438889"/>
        <c:crosses val="autoZero"/>
        <c:crossBetween val="between"/>
        <c:dispUnits/>
      </c:valAx>
      <c:dTable>
        <c:showHorzBorder val="1"/>
        <c:showVertBorder val="1"/>
        <c:showOutline val="1"/>
        <c:showKeys val="1"/>
        <c:spPr>
          <a:ln w="12700">
            <a:solidFill>
              <a:srgbClr val="000000"/>
            </a:solidFill>
          </a:ln>
        </c:spPr>
        <c:txPr>
          <a:bodyPr vert="horz" rot="0"/>
          <a:lstStyle/>
          <a:p>
            <a:pPr>
              <a:defRPr lang="en-US" cap="none" sz="1000" b="1" i="0" u="none" baseline="0">
                <a:solidFill>
                  <a:srgbClr val="000000"/>
                </a:solidFill>
              </a:defRPr>
            </a:pPr>
          </a:p>
        </c:txPr>
      </c:dTable>
      <c:spPr>
        <a:ln w="3175">
          <a:noFill/>
        </a:ln>
      </c:spPr>
    </c:plotArea>
    <c:plotVisOnly val="1"/>
    <c:dispBlanksAs val="gap"/>
    <c:showDLblsOverMax val="0"/>
  </c:chart>
  <c:spPr>
    <a:ln w="12700">
      <a:solidFill>
        <a:srgbClr val="000000"/>
      </a:solidFill>
    </a:ln>
  </c:spPr>
  <c:txPr>
    <a:bodyPr vert="horz" rot="0"/>
    <a:lstStyle/>
    <a:p>
      <a:pPr>
        <a:defRPr lang="en-US" cap="none" sz="1400" b="1"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chart" Target="/xl/charts/chart9.xml" /><Relationship Id="rId3" Type="http://schemas.openxmlformats.org/officeDocument/2006/relationships/chart" Target="/xl/charts/chart10.xml" /><Relationship Id="rId4" Type="http://schemas.openxmlformats.org/officeDocument/2006/relationships/chart" Target="/xl/charts/chart11.xml" /><Relationship Id="rId5" Type="http://schemas.openxmlformats.org/officeDocument/2006/relationships/chart" Target="/xl/charts/chart12.xml" /><Relationship Id="rId6" Type="http://schemas.openxmlformats.org/officeDocument/2006/relationships/chart" Target="/xl/charts/chart13.xml" /><Relationship Id="rId7" Type="http://schemas.openxmlformats.org/officeDocument/2006/relationships/chart" Target="/xl/charts/chart1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23</xdr:row>
      <xdr:rowOff>142875</xdr:rowOff>
    </xdr:from>
    <xdr:to>
      <xdr:col>8</xdr:col>
      <xdr:colOff>285750</xdr:colOff>
      <xdr:row>42</xdr:row>
      <xdr:rowOff>161925</xdr:rowOff>
    </xdr:to>
    <xdr:graphicFrame>
      <xdr:nvGraphicFramePr>
        <xdr:cNvPr id="1" name="Chart 1"/>
        <xdr:cNvGraphicFramePr/>
      </xdr:nvGraphicFramePr>
      <xdr:xfrm>
        <a:off x="352425" y="4543425"/>
        <a:ext cx="4552950" cy="3638550"/>
      </xdr:xfrm>
      <a:graphic>
        <a:graphicData uri="http://schemas.openxmlformats.org/drawingml/2006/chart">
          <c:chart xmlns:c="http://schemas.openxmlformats.org/drawingml/2006/chart" r:id="rId1"/>
        </a:graphicData>
      </a:graphic>
    </xdr:graphicFrame>
    <xdr:clientData/>
  </xdr:twoCellAnchor>
  <xdr:twoCellAnchor>
    <xdr:from>
      <xdr:col>1</xdr:col>
      <xdr:colOff>9525</xdr:colOff>
      <xdr:row>2</xdr:row>
      <xdr:rowOff>152400</xdr:rowOff>
    </xdr:from>
    <xdr:to>
      <xdr:col>8</xdr:col>
      <xdr:colOff>295275</xdr:colOff>
      <xdr:row>21</xdr:row>
      <xdr:rowOff>180975</xdr:rowOff>
    </xdr:to>
    <xdr:graphicFrame>
      <xdr:nvGraphicFramePr>
        <xdr:cNvPr id="2" name="Chart 2"/>
        <xdr:cNvGraphicFramePr/>
      </xdr:nvGraphicFramePr>
      <xdr:xfrm>
        <a:off x="361950" y="552450"/>
        <a:ext cx="4552950" cy="3648075"/>
      </xdr:xfrm>
      <a:graphic>
        <a:graphicData uri="http://schemas.openxmlformats.org/drawingml/2006/chart">
          <c:chart xmlns:c="http://schemas.openxmlformats.org/drawingml/2006/chart" r:id="rId2"/>
        </a:graphicData>
      </a:graphic>
    </xdr:graphicFrame>
    <xdr:clientData/>
  </xdr:twoCellAnchor>
  <xdr:twoCellAnchor>
    <xdr:from>
      <xdr:col>1</xdr:col>
      <xdr:colOff>0</xdr:colOff>
      <xdr:row>47</xdr:row>
      <xdr:rowOff>0</xdr:rowOff>
    </xdr:from>
    <xdr:to>
      <xdr:col>8</xdr:col>
      <xdr:colOff>285750</xdr:colOff>
      <xdr:row>66</xdr:row>
      <xdr:rowOff>19050</xdr:rowOff>
    </xdr:to>
    <xdr:graphicFrame>
      <xdr:nvGraphicFramePr>
        <xdr:cNvPr id="3" name="Chart 3"/>
        <xdr:cNvGraphicFramePr/>
      </xdr:nvGraphicFramePr>
      <xdr:xfrm>
        <a:off x="352425" y="8972550"/>
        <a:ext cx="4552950" cy="3638550"/>
      </xdr:xfrm>
      <a:graphic>
        <a:graphicData uri="http://schemas.openxmlformats.org/drawingml/2006/chart">
          <c:chart xmlns:c="http://schemas.openxmlformats.org/drawingml/2006/chart" r:id="rId3"/>
        </a:graphicData>
      </a:graphic>
    </xdr:graphicFrame>
    <xdr:clientData/>
  </xdr:twoCellAnchor>
  <xdr:twoCellAnchor>
    <xdr:from>
      <xdr:col>1</xdr:col>
      <xdr:colOff>0</xdr:colOff>
      <xdr:row>70</xdr:row>
      <xdr:rowOff>0</xdr:rowOff>
    </xdr:from>
    <xdr:to>
      <xdr:col>8</xdr:col>
      <xdr:colOff>285750</xdr:colOff>
      <xdr:row>89</xdr:row>
      <xdr:rowOff>19050</xdr:rowOff>
    </xdr:to>
    <xdr:graphicFrame>
      <xdr:nvGraphicFramePr>
        <xdr:cNvPr id="4" name="Chart 4"/>
        <xdr:cNvGraphicFramePr/>
      </xdr:nvGraphicFramePr>
      <xdr:xfrm>
        <a:off x="352425" y="13354050"/>
        <a:ext cx="4552950" cy="3638550"/>
      </xdr:xfrm>
      <a:graphic>
        <a:graphicData uri="http://schemas.openxmlformats.org/drawingml/2006/chart">
          <c:chart xmlns:c="http://schemas.openxmlformats.org/drawingml/2006/chart" r:id="rId4"/>
        </a:graphicData>
      </a:graphic>
    </xdr:graphicFrame>
    <xdr:clientData/>
  </xdr:twoCellAnchor>
  <xdr:twoCellAnchor>
    <xdr:from>
      <xdr:col>1</xdr:col>
      <xdr:colOff>0</xdr:colOff>
      <xdr:row>93</xdr:row>
      <xdr:rowOff>0</xdr:rowOff>
    </xdr:from>
    <xdr:to>
      <xdr:col>8</xdr:col>
      <xdr:colOff>285750</xdr:colOff>
      <xdr:row>112</xdr:row>
      <xdr:rowOff>19050</xdr:rowOff>
    </xdr:to>
    <xdr:graphicFrame>
      <xdr:nvGraphicFramePr>
        <xdr:cNvPr id="5" name="Chart 5"/>
        <xdr:cNvGraphicFramePr/>
      </xdr:nvGraphicFramePr>
      <xdr:xfrm>
        <a:off x="352425" y="17735550"/>
        <a:ext cx="4552950" cy="3638550"/>
      </xdr:xfrm>
      <a:graphic>
        <a:graphicData uri="http://schemas.openxmlformats.org/drawingml/2006/chart">
          <c:chart xmlns:c="http://schemas.openxmlformats.org/drawingml/2006/chart" r:id="rId5"/>
        </a:graphicData>
      </a:graphic>
    </xdr:graphicFrame>
    <xdr:clientData/>
  </xdr:twoCellAnchor>
  <xdr:twoCellAnchor>
    <xdr:from>
      <xdr:col>1</xdr:col>
      <xdr:colOff>0</xdr:colOff>
      <xdr:row>115</xdr:row>
      <xdr:rowOff>0</xdr:rowOff>
    </xdr:from>
    <xdr:to>
      <xdr:col>8</xdr:col>
      <xdr:colOff>285750</xdr:colOff>
      <xdr:row>134</xdr:row>
      <xdr:rowOff>19050</xdr:rowOff>
    </xdr:to>
    <xdr:graphicFrame>
      <xdr:nvGraphicFramePr>
        <xdr:cNvPr id="6" name="Chart 6"/>
        <xdr:cNvGraphicFramePr/>
      </xdr:nvGraphicFramePr>
      <xdr:xfrm>
        <a:off x="352425" y="21926550"/>
        <a:ext cx="4552950" cy="3638550"/>
      </xdr:xfrm>
      <a:graphic>
        <a:graphicData uri="http://schemas.openxmlformats.org/drawingml/2006/chart">
          <c:chart xmlns:c="http://schemas.openxmlformats.org/drawingml/2006/chart" r:id="rId6"/>
        </a:graphicData>
      </a:graphic>
    </xdr:graphicFrame>
    <xdr:clientData/>
  </xdr:twoCellAnchor>
  <xdr:twoCellAnchor>
    <xdr:from>
      <xdr:col>1</xdr:col>
      <xdr:colOff>0</xdr:colOff>
      <xdr:row>137</xdr:row>
      <xdr:rowOff>0</xdr:rowOff>
    </xdr:from>
    <xdr:to>
      <xdr:col>8</xdr:col>
      <xdr:colOff>285750</xdr:colOff>
      <xdr:row>156</xdr:row>
      <xdr:rowOff>19050</xdr:rowOff>
    </xdr:to>
    <xdr:graphicFrame>
      <xdr:nvGraphicFramePr>
        <xdr:cNvPr id="7" name="Chart 7"/>
        <xdr:cNvGraphicFramePr/>
      </xdr:nvGraphicFramePr>
      <xdr:xfrm>
        <a:off x="352425" y="26117550"/>
        <a:ext cx="4552950" cy="3638550"/>
      </xdr:xfrm>
      <a:graphic>
        <a:graphicData uri="http://schemas.openxmlformats.org/drawingml/2006/chart">
          <c:chart xmlns:c="http://schemas.openxmlformats.org/drawingml/2006/chart" r:id="rId7"/>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25</xdr:row>
      <xdr:rowOff>142875</xdr:rowOff>
    </xdr:from>
    <xdr:to>
      <xdr:col>8</xdr:col>
      <xdr:colOff>285750</xdr:colOff>
      <xdr:row>44</xdr:row>
      <xdr:rowOff>161925</xdr:rowOff>
    </xdr:to>
    <xdr:graphicFrame>
      <xdr:nvGraphicFramePr>
        <xdr:cNvPr id="1" name="Chart 1"/>
        <xdr:cNvGraphicFramePr/>
      </xdr:nvGraphicFramePr>
      <xdr:xfrm>
        <a:off x="609600" y="4933950"/>
        <a:ext cx="4552950" cy="3638550"/>
      </xdr:xfrm>
      <a:graphic>
        <a:graphicData uri="http://schemas.openxmlformats.org/drawingml/2006/chart">
          <c:chart xmlns:c="http://schemas.openxmlformats.org/drawingml/2006/chart" r:id="rId1"/>
        </a:graphicData>
      </a:graphic>
    </xdr:graphicFrame>
    <xdr:clientData/>
  </xdr:twoCellAnchor>
  <xdr:twoCellAnchor>
    <xdr:from>
      <xdr:col>1</xdr:col>
      <xdr:colOff>9525</xdr:colOff>
      <xdr:row>3</xdr:row>
      <xdr:rowOff>152400</xdr:rowOff>
    </xdr:from>
    <xdr:to>
      <xdr:col>8</xdr:col>
      <xdr:colOff>295275</xdr:colOff>
      <xdr:row>23</xdr:row>
      <xdr:rowOff>180975</xdr:rowOff>
    </xdr:to>
    <xdr:graphicFrame>
      <xdr:nvGraphicFramePr>
        <xdr:cNvPr id="2" name="Chart 2"/>
        <xdr:cNvGraphicFramePr/>
      </xdr:nvGraphicFramePr>
      <xdr:xfrm>
        <a:off x="619125" y="752475"/>
        <a:ext cx="4552950" cy="3838575"/>
      </xdr:xfrm>
      <a:graphic>
        <a:graphicData uri="http://schemas.openxmlformats.org/drawingml/2006/chart">
          <c:chart xmlns:c="http://schemas.openxmlformats.org/drawingml/2006/chart" r:id="rId2"/>
        </a:graphicData>
      </a:graphic>
    </xdr:graphicFrame>
    <xdr:clientData/>
  </xdr:twoCellAnchor>
  <xdr:twoCellAnchor>
    <xdr:from>
      <xdr:col>1</xdr:col>
      <xdr:colOff>0</xdr:colOff>
      <xdr:row>49</xdr:row>
      <xdr:rowOff>0</xdr:rowOff>
    </xdr:from>
    <xdr:to>
      <xdr:col>8</xdr:col>
      <xdr:colOff>285750</xdr:colOff>
      <xdr:row>68</xdr:row>
      <xdr:rowOff>19050</xdr:rowOff>
    </xdr:to>
    <xdr:graphicFrame>
      <xdr:nvGraphicFramePr>
        <xdr:cNvPr id="3" name="Chart 3"/>
        <xdr:cNvGraphicFramePr/>
      </xdr:nvGraphicFramePr>
      <xdr:xfrm>
        <a:off x="609600" y="9363075"/>
        <a:ext cx="4552950" cy="3638550"/>
      </xdr:xfrm>
      <a:graphic>
        <a:graphicData uri="http://schemas.openxmlformats.org/drawingml/2006/chart">
          <c:chart xmlns:c="http://schemas.openxmlformats.org/drawingml/2006/chart" r:id="rId3"/>
        </a:graphicData>
      </a:graphic>
    </xdr:graphicFrame>
    <xdr:clientData/>
  </xdr:twoCellAnchor>
  <xdr:twoCellAnchor>
    <xdr:from>
      <xdr:col>1</xdr:col>
      <xdr:colOff>0</xdr:colOff>
      <xdr:row>72</xdr:row>
      <xdr:rowOff>0</xdr:rowOff>
    </xdr:from>
    <xdr:to>
      <xdr:col>8</xdr:col>
      <xdr:colOff>285750</xdr:colOff>
      <xdr:row>91</xdr:row>
      <xdr:rowOff>19050</xdr:rowOff>
    </xdr:to>
    <xdr:graphicFrame>
      <xdr:nvGraphicFramePr>
        <xdr:cNvPr id="4" name="Chart 4"/>
        <xdr:cNvGraphicFramePr/>
      </xdr:nvGraphicFramePr>
      <xdr:xfrm>
        <a:off x="609600" y="13744575"/>
        <a:ext cx="4552950" cy="3638550"/>
      </xdr:xfrm>
      <a:graphic>
        <a:graphicData uri="http://schemas.openxmlformats.org/drawingml/2006/chart">
          <c:chart xmlns:c="http://schemas.openxmlformats.org/drawingml/2006/chart" r:id="rId4"/>
        </a:graphicData>
      </a:graphic>
    </xdr:graphicFrame>
    <xdr:clientData/>
  </xdr:twoCellAnchor>
  <xdr:twoCellAnchor>
    <xdr:from>
      <xdr:col>1</xdr:col>
      <xdr:colOff>0</xdr:colOff>
      <xdr:row>95</xdr:row>
      <xdr:rowOff>0</xdr:rowOff>
    </xdr:from>
    <xdr:to>
      <xdr:col>8</xdr:col>
      <xdr:colOff>285750</xdr:colOff>
      <xdr:row>114</xdr:row>
      <xdr:rowOff>19050</xdr:rowOff>
    </xdr:to>
    <xdr:graphicFrame>
      <xdr:nvGraphicFramePr>
        <xdr:cNvPr id="5" name="Chart 5"/>
        <xdr:cNvGraphicFramePr/>
      </xdr:nvGraphicFramePr>
      <xdr:xfrm>
        <a:off x="609600" y="18126075"/>
        <a:ext cx="4552950" cy="3638550"/>
      </xdr:xfrm>
      <a:graphic>
        <a:graphicData uri="http://schemas.openxmlformats.org/drawingml/2006/chart">
          <c:chart xmlns:c="http://schemas.openxmlformats.org/drawingml/2006/chart" r:id="rId5"/>
        </a:graphicData>
      </a:graphic>
    </xdr:graphicFrame>
    <xdr:clientData/>
  </xdr:twoCellAnchor>
  <xdr:twoCellAnchor>
    <xdr:from>
      <xdr:col>1</xdr:col>
      <xdr:colOff>0</xdr:colOff>
      <xdr:row>117</xdr:row>
      <xdr:rowOff>0</xdr:rowOff>
    </xdr:from>
    <xdr:to>
      <xdr:col>8</xdr:col>
      <xdr:colOff>285750</xdr:colOff>
      <xdr:row>136</xdr:row>
      <xdr:rowOff>19050</xdr:rowOff>
    </xdr:to>
    <xdr:graphicFrame>
      <xdr:nvGraphicFramePr>
        <xdr:cNvPr id="6" name="Chart 6"/>
        <xdr:cNvGraphicFramePr/>
      </xdr:nvGraphicFramePr>
      <xdr:xfrm>
        <a:off x="609600" y="22317075"/>
        <a:ext cx="4552950" cy="3638550"/>
      </xdr:xfrm>
      <a:graphic>
        <a:graphicData uri="http://schemas.openxmlformats.org/drawingml/2006/chart">
          <c:chart xmlns:c="http://schemas.openxmlformats.org/drawingml/2006/chart" r:id="rId6"/>
        </a:graphicData>
      </a:graphic>
    </xdr:graphicFrame>
    <xdr:clientData/>
  </xdr:twoCellAnchor>
  <xdr:twoCellAnchor>
    <xdr:from>
      <xdr:col>1</xdr:col>
      <xdr:colOff>0</xdr:colOff>
      <xdr:row>139</xdr:row>
      <xdr:rowOff>0</xdr:rowOff>
    </xdr:from>
    <xdr:to>
      <xdr:col>8</xdr:col>
      <xdr:colOff>285750</xdr:colOff>
      <xdr:row>158</xdr:row>
      <xdr:rowOff>19050</xdr:rowOff>
    </xdr:to>
    <xdr:graphicFrame>
      <xdr:nvGraphicFramePr>
        <xdr:cNvPr id="7" name="Chart 7"/>
        <xdr:cNvGraphicFramePr/>
      </xdr:nvGraphicFramePr>
      <xdr:xfrm>
        <a:off x="609600" y="26508075"/>
        <a:ext cx="4552950" cy="3638550"/>
      </xdr:xfrm>
      <a:graphic>
        <a:graphicData uri="http://schemas.openxmlformats.org/drawingml/2006/chart">
          <c:chart xmlns:c="http://schemas.openxmlformats.org/drawingml/2006/chart" r:id="rId7"/>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M42"/>
  <sheetViews>
    <sheetView showGridLines="0" workbookViewId="0" topLeftCell="A1">
      <selection activeCell="A17" sqref="A17"/>
    </sheetView>
  </sheetViews>
  <sheetFormatPr defaultColWidth="9.140625" defaultRowHeight="15"/>
  <cols>
    <col min="1" max="1" width="39.28125" style="0" customWidth="1"/>
    <col min="2" max="2" width="8.421875" style="0" customWidth="1"/>
    <col min="3" max="3" width="8.140625" style="0" customWidth="1"/>
    <col min="4" max="4" width="9.421875" style="0" customWidth="1"/>
    <col min="5" max="5" width="8.140625" style="0" customWidth="1"/>
    <col min="6" max="7" width="8.28125" style="0" customWidth="1"/>
    <col min="8" max="8" width="9.421875" style="0" customWidth="1"/>
    <col min="9" max="9" width="7.140625" style="0" customWidth="1"/>
    <col min="10" max="10" width="9.421875" style="0" customWidth="1"/>
    <col min="11" max="11" width="8.8515625" style="134" hidden="1" customWidth="1"/>
    <col min="12" max="12" width="8.8515625" style="0" hidden="1" customWidth="1"/>
    <col min="13" max="13" width="8.8515625" style="134" hidden="1" customWidth="1"/>
    <col min="14" max="14" width="8.8515625" style="0" customWidth="1"/>
  </cols>
  <sheetData>
    <row r="1" spans="1:10" ht="25.5" customHeight="1">
      <c r="A1" s="18" t="s">
        <v>3</v>
      </c>
      <c r="B1" s="34" t="s">
        <v>128</v>
      </c>
      <c r="C1" s="32"/>
      <c r="D1" s="32"/>
      <c r="E1" s="32"/>
      <c r="F1" s="32"/>
      <c r="G1" s="32"/>
      <c r="H1" s="32"/>
      <c r="I1" s="32"/>
      <c r="J1" s="32"/>
    </row>
    <row r="2" spans="1:7" ht="15">
      <c r="A2" s="139" t="s">
        <v>56</v>
      </c>
      <c r="B2" s="130"/>
      <c r="C2" s="12"/>
      <c r="D2" s="12"/>
      <c r="E2" s="12"/>
      <c r="F2" s="12"/>
      <c r="G2" s="32"/>
    </row>
    <row r="3" spans="1:13" ht="15" customHeight="1">
      <c r="A3" s="139" t="s">
        <v>27</v>
      </c>
      <c r="B3" s="130"/>
      <c r="C3" s="11" t="s">
        <v>228</v>
      </c>
      <c r="D3" s="126"/>
      <c r="E3" s="126"/>
      <c r="F3" s="126"/>
      <c r="G3" s="33"/>
      <c r="H3" s="33"/>
      <c r="K3" s="134" t="s">
        <v>4</v>
      </c>
      <c r="M3" s="134">
        <f>Defaults!B27</f>
        <v>2</v>
      </c>
    </row>
    <row r="4" spans="1:8" ht="15" customHeight="1">
      <c r="A4" s="130"/>
      <c r="B4" s="130"/>
      <c r="C4" s="19" t="s">
        <v>47</v>
      </c>
      <c r="D4" s="19"/>
      <c r="E4" s="19"/>
      <c r="F4" s="19"/>
      <c r="G4" s="66"/>
      <c r="H4" s="8"/>
    </row>
    <row r="5" spans="1:12" ht="65.25" thickBot="1">
      <c r="A5" s="160"/>
      <c r="B5" s="106" t="s">
        <v>138</v>
      </c>
      <c r="C5" s="106" t="s">
        <v>174</v>
      </c>
      <c r="D5" s="106" t="s">
        <v>30</v>
      </c>
      <c r="E5" s="106" t="s">
        <v>104</v>
      </c>
      <c r="F5" s="106" t="s">
        <v>235</v>
      </c>
      <c r="G5" s="106" t="s">
        <v>50</v>
      </c>
      <c r="H5" s="106" t="s">
        <v>116</v>
      </c>
      <c r="I5" s="106" t="s">
        <v>36</v>
      </c>
      <c r="J5" s="106" t="s">
        <v>11</v>
      </c>
      <c r="K5" s="134" t="str">
        <f aca="true" t="shared" si="0" ref="K5:K15">INDEX(B5:J5,$M$3)</f>
        <v>White</v>
      </c>
      <c r="L5" s="106" t="s">
        <v>137</v>
      </c>
    </row>
    <row r="6" spans="1:13" ht="15.75" thickBot="1">
      <c r="A6" s="140" t="s">
        <v>225</v>
      </c>
      <c r="B6" s="9">
        <v>828221</v>
      </c>
      <c r="C6" s="9">
        <v>482993</v>
      </c>
      <c r="D6" s="9">
        <v>175312</v>
      </c>
      <c r="E6" s="9">
        <v>85134</v>
      </c>
      <c r="F6" s="9">
        <v>46123</v>
      </c>
      <c r="G6" s="9">
        <v>0</v>
      </c>
      <c r="H6" s="9">
        <v>2097</v>
      </c>
      <c r="I6" s="9">
        <v>36562</v>
      </c>
      <c r="J6" s="9">
        <v>345228</v>
      </c>
      <c r="K6" s="134">
        <f t="shared" si="0"/>
        <v>482993</v>
      </c>
      <c r="L6" s="134">
        <f aca="true" t="shared" si="1" ref="L6:L15">B6-K6</f>
        <v>345228</v>
      </c>
      <c r="M6" s="134">
        <f aca="true" t="shared" si="2" ref="M6:M15">SUM(K6:L6)</f>
        <v>828221</v>
      </c>
    </row>
    <row r="7" spans="1:13" ht="15.75" thickBot="1">
      <c r="A7" s="52" t="s">
        <v>165</v>
      </c>
      <c r="B7" s="9">
        <v>0</v>
      </c>
      <c r="C7" s="9">
        <v>0</v>
      </c>
      <c r="D7" s="9">
        <v>0</v>
      </c>
      <c r="E7" s="9">
        <v>0</v>
      </c>
      <c r="F7" s="9">
        <v>0</v>
      </c>
      <c r="G7" s="9">
        <v>0</v>
      </c>
      <c r="H7" s="9">
        <v>0</v>
      </c>
      <c r="I7" s="9">
        <v>0</v>
      </c>
      <c r="J7" s="9">
        <v>0</v>
      </c>
      <c r="K7" s="134">
        <f t="shared" si="0"/>
        <v>0</v>
      </c>
      <c r="L7" s="134">
        <f t="shared" si="1"/>
        <v>0</v>
      </c>
      <c r="M7" s="134">
        <f t="shared" si="2"/>
        <v>0</v>
      </c>
    </row>
    <row r="8" spans="1:13" ht="15.75" thickBot="1">
      <c r="A8" s="52" t="s">
        <v>60</v>
      </c>
      <c r="B8" s="9">
        <v>43647</v>
      </c>
      <c r="C8" s="9">
        <v>18677</v>
      </c>
      <c r="D8" s="9">
        <v>18564</v>
      </c>
      <c r="E8" s="9">
        <v>3437</v>
      </c>
      <c r="F8" s="9">
        <v>467</v>
      </c>
      <c r="G8" s="9">
        <v>0</v>
      </c>
      <c r="H8" s="9">
        <v>31</v>
      </c>
      <c r="I8" s="9">
        <v>2471</v>
      </c>
      <c r="J8" s="9">
        <v>24970</v>
      </c>
      <c r="K8" s="134">
        <f t="shared" si="0"/>
        <v>18677</v>
      </c>
      <c r="L8" s="134">
        <f t="shared" si="1"/>
        <v>24970</v>
      </c>
      <c r="M8" s="134">
        <f t="shared" si="2"/>
        <v>43647</v>
      </c>
    </row>
    <row r="9" spans="1:13" ht="15.75" thickBot="1">
      <c r="A9" s="52" t="s">
        <v>67</v>
      </c>
      <c r="B9" s="9">
        <v>6491</v>
      </c>
      <c r="C9" s="9">
        <v>2998</v>
      </c>
      <c r="D9" s="9">
        <v>2324</v>
      </c>
      <c r="E9" s="9">
        <v>457</v>
      </c>
      <c r="F9" s="9">
        <v>114</v>
      </c>
      <c r="G9" s="9">
        <v>0</v>
      </c>
      <c r="H9" s="9">
        <v>5</v>
      </c>
      <c r="I9" s="9">
        <v>593</v>
      </c>
      <c r="J9" s="9">
        <v>3493</v>
      </c>
      <c r="K9" s="134">
        <f t="shared" si="0"/>
        <v>2998</v>
      </c>
      <c r="L9" s="134">
        <f t="shared" si="1"/>
        <v>3493</v>
      </c>
      <c r="M9" s="134">
        <f t="shared" si="2"/>
        <v>6491</v>
      </c>
    </row>
    <row r="10" spans="1:13" ht="15.75" thickBot="1">
      <c r="A10" s="52" t="s">
        <v>112</v>
      </c>
      <c r="B10" s="9">
        <v>7619</v>
      </c>
      <c r="C10" s="9">
        <v>2398</v>
      </c>
      <c r="D10" s="9">
        <v>4316</v>
      </c>
      <c r="E10" s="9">
        <v>653</v>
      </c>
      <c r="F10" s="9">
        <v>45</v>
      </c>
      <c r="G10" s="9">
        <v>0</v>
      </c>
      <c r="H10" s="9">
        <v>2</v>
      </c>
      <c r="I10" s="9">
        <v>205</v>
      </c>
      <c r="J10" s="9">
        <v>5221</v>
      </c>
      <c r="K10" s="134">
        <f t="shared" si="0"/>
        <v>2398</v>
      </c>
      <c r="L10" s="134">
        <f t="shared" si="1"/>
        <v>5221</v>
      </c>
      <c r="M10" s="134">
        <f t="shared" si="2"/>
        <v>7619</v>
      </c>
    </row>
    <row r="11" spans="1:13" ht="15.75" thickBot="1">
      <c r="A11" s="52" t="s">
        <v>160</v>
      </c>
      <c r="B11" s="9">
        <v>29522</v>
      </c>
      <c r="C11" s="9">
        <v>12374</v>
      </c>
      <c r="D11" s="9">
        <v>13170</v>
      </c>
      <c r="E11" s="9">
        <v>2462</v>
      </c>
      <c r="F11" s="9">
        <v>263</v>
      </c>
      <c r="G11" s="9">
        <v>0</v>
      </c>
      <c r="H11" s="9">
        <v>20</v>
      </c>
      <c r="I11" s="9">
        <v>1233</v>
      </c>
      <c r="J11" s="9">
        <v>17148</v>
      </c>
      <c r="K11" s="134">
        <f t="shared" si="0"/>
        <v>12374</v>
      </c>
      <c r="L11" s="134">
        <f t="shared" si="1"/>
        <v>17148</v>
      </c>
      <c r="M11" s="134">
        <f t="shared" si="2"/>
        <v>29522</v>
      </c>
    </row>
    <row r="12" spans="1:13" ht="15.75" thickBot="1">
      <c r="A12" s="52" t="s">
        <v>66</v>
      </c>
      <c r="B12" s="9">
        <v>9224</v>
      </c>
      <c r="C12" s="9">
        <v>3316</v>
      </c>
      <c r="D12" s="9">
        <v>4638</v>
      </c>
      <c r="E12" s="9">
        <v>903</v>
      </c>
      <c r="F12" s="9">
        <v>73</v>
      </c>
      <c r="G12" s="9">
        <v>0</v>
      </c>
      <c r="H12" s="9">
        <v>4</v>
      </c>
      <c r="I12" s="9">
        <v>290</v>
      </c>
      <c r="J12" s="9">
        <v>5908</v>
      </c>
      <c r="K12" s="134">
        <f t="shared" si="0"/>
        <v>3316</v>
      </c>
      <c r="L12" s="134">
        <f t="shared" si="1"/>
        <v>5908</v>
      </c>
      <c r="M12" s="134">
        <f t="shared" si="2"/>
        <v>9224</v>
      </c>
    </row>
    <row r="13" spans="1:13" ht="15.75" thickBot="1">
      <c r="A13" s="52" t="s">
        <v>159</v>
      </c>
      <c r="B13" s="9">
        <v>4879</v>
      </c>
      <c r="C13" s="9">
        <v>2032</v>
      </c>
      <c r="D13" s="9">
        <v>2134</v>
      </c>
      <c r="E13" s="9">
        <v>475</v>
      </c>
      <c r="F13" s="9">
        <v>58</v>
      </c>
      <c r="G13" s="9">
        <v>0</v>
      </c>
      <c r="H13" s="9">
        <v>5</v>
      </c>
      <c r="I13" s="9">
        <v>175</v>
      </c>
      <c r="J13" s="9">
        <v>2847</v>
      </c>
      <c r="K13" s="134">
        <f t="shared" si="0"/>
        <v>2032</v>
      </c>
      <c r="L13" s="134">
        <f t="shared" si="1"/>
        <v>2847</v>
      </c>
      <c r="M13" s="134">
        <f t="shared" si="2"/>
        <v>4879</v>
      </c>
    </row>
    <row r="14" spans="1:13" ht="26.25" thickBot="1">
      <c r="A14" s="52" t="s">
        <v>76</v>
      </c>
      <c r="B14" s="9">
        <v>492</v>
      </c>
      <c r="C14" s="9">
        <v>121</v>
      </c>
      <c r="D14" s="9">
        <v>335</v>
      </c>
      <c r="E14" s="9">
        <v>25</v>
      </c>
      <c r="F14" s="9">
        <v>1</v>
      </c>
      <c r="G14" s="9">
        <v>0</v>
      </c>
      <c r="H14" s="9">
        <v>0</v>
      </c>
      <c r="I14" s="9">
        <v>10</v>
      </c>
      <c r="J14" s="9">
        <v>371</v>
      </c>
      <c r="K14" s="134">
        <f t="shared" si="0"/>
        <v>121</v>
      </c>
      <c r="L14" s="134">
        <f t="shared" si="1"/>
        <v>371</v>
      </c>
      <c r="M14" s="134">
        <f t="shared" si="2"/>
        <v>492</v>
      </c>
    </row>
    <row r="15" spans="1:13" ht="15.75" thickBot="1">
      <c r="A15" s="52" t="s">
        <v>140</v>
      </c>
      <c r="B15" s="9">
        <v>0</v>
      </c>
      <c r="C15" s="9">
        <v>0</v>
      </c>
      <c r="D15" s="9">
        <v>0</v>
      </c>
      <c r="E15" s="9">
        <v>0</v>
      </c>
      <c r="F15" s="9">
        <v>0</v>
      </c>
      <c r="G15" s="9">
        <v>0</v>
      </c>
      <c r="H15" s="9">
        <v>0</v>
      </c>
      <c r="I15" s="9">
        <v>0</v>
      </c>
      <c r="J15" s="9">
        <v>0</v>
      </c>
      <c r="K15" s="134">
        <f t="shared" si="0"/>
        <v>0</v>
      </c>
      <c r="L15" s="134">
        <f t="shared" si="1"/>
        <v>0</v>
      </c>
      <c r="M15" s="134">
        <f t="shared" si="2"/>
        <v>0</v>
      </c>
    </row>
    <row r="16" spans="1:13" s="151" customFormat="1" ht="15">
      <c r="A16" s="87" t="s">
        <v>55</v>
      </c>
      <c r="C16" s="75" t="str">
        <f aca="true" t="shared" si="3" ref="C16:I16">IF((C6&gt;($B6/100)),"Yes","No")</f>
        <v>Yes</v>
      </c>
      <c r="D16" s="75" t="str">
        <f t="shared" si="3"/>
        <v>Yes</v>
      </c>
      <c r="E16" s="75" t="str">
        <f t="shared" si="3"/>
        <v>Yes</v>
      </c>
      <c r="F16" s="75" t="str">
        <f t="shared" si="3"/>
        <v>Yes</v>
      </c>
      <c r="G16" s="75" t="str">
        <f t="shared" si="3"/>
        <v>No</v>
      </c>
      <c r="H16" s="75" t="str">
        <f t="shared" si="3"/>
        <v>No</v>
      </c>
      <c r="I16" s="75" t="str">
        <f t="shared" si="3"/>
        <v>Yes</v>
      </c>
      <c r="J16" s="112"/>
      <c r="K16" s="17"/>
      <c r="M16" s="17"/>
    </row>
    <row r="17" ht="15">
      <c r="A17" s="129" t="str">
        <f>Black!B16</f>
        <v>release date: March, 2011</v>
      </c>
    </row>
    <row r="18" spans="1:9" ht="15">
      <c r="A18" s="22" t="s">
        <v>24</v>
      </c>
      <c r="B18" s="22"/>
      <c r="C18" s="22"/>
      <c r="D18" s="22"/>
      <c r="E18" s="22"/>
      <c r="F18" s="22"/>
      <c r="G18" s="22"/>
      <c r="H18" s="133"/>
      <c r="I18" s="133"/>
    </row>
    <row r="19" spans="1:9" ht="15">
      <c r="A19" s="109" t="s">
        <v>61</v>
      </c>
      <c r="B19" s="109"/>
      <c r="C19" s="160"/>
      <c r="D19" s="109" t="s">
        <v>105</v>
      </c>
      <c r="E19" s="109"/>
      <c r="F19" s="109"/>
      <c r="G19" s="109"/>
      <c r="H19" s="109"/>
      <c r="I19" s="109"/>
    </row>
    <row r="20" spans="1:9" ht="15">
      <c r="A20" s="109" t="s">
        <v>133</v>
      </c>
      <c r="B20" s="109"/>
      <c r="C20" s="160"/>
      <c r="D20" s="109" t="s">
        <v>123</v>
      </c>
      <c r="E20" s="109"/>
      <c r="F20" s="109"/>
      <c r="G20" s="109"/>
      <c r="H20" s="109"/>
      <c r="I20" s="109"/>
    </row>
    <row r="21" spans="1:9" ht="15">
      <c r="A21" s="109" t="s">
        <v>122</v>
      </c>
      <c r="B21" s="109"/>
      <c r="C21" s="160"/>
      <c r="D21" s="109" t="s">
        <v>186</v>
      </c>
      <c r="E21" s="109"/>
      <c r="F21" s="109"/>
      <c r="G21" s="109"/>
      <c r="H21" s="109"/>
      <c r="I21" s="109"/>
    </row>
    <row r="22" spans="1:9" ht="15">
      <c r="A22" s="109" t="s">
        <v>77</v>
      </c>
      <c r="B22" s="109"/>
      <c r="C22" s="160"/>
      <c r="D22" s="109" t="s">
        <v>164</v>
      </c>
      <c r="E22" s="109"/>
      <c r="F22" s="109"/>
      <c r="G22" s="109"/>
      <c r="H22" s="109"/>
      <c r="I22" s="109"/>
    </row>
    <row r="23" spans="1:9" ht="15">
      <c r="A23" s="109" t="s">
        <v>44</v>
      </c>
      <c r="B23" s="109"/>
      <c r="C23" s="160"/>
      <c r="D23" s="109" t="s">
        <v>166</v>
      </c>
      <c r="E23" s="109"/>
      <c r="F23" s="109"/>
      <c r="G23" s="109"/>
      <c r="H23" s="109"/>
      <c r="I23" s="109"/>
    </row>
    <row r="24" spans="1:9" ht="15">
      <c r="A24" s="160"/>
      <c r="B24" s="160"/>
      <c r="C24" s="160"/>
      <c r="D24" s="160"/>
      <c r="E24" s="160"/>
      <c r="F24" s="160"/>
      <c r="G24" s="160"/>
      <c r="H24" s="160"/>
      <c r="I24" s="160"/>
    </row>
    <row r="27" spans="11:13" s="160" customFormat="1" ht="81.75" customHeight="1">
      <c r="K27" s="25"/>
      <c r="M27" s="25"/>
    </row>
    <row r="33" ht="15.75">
      <c r="C33" s="147"/>
    </row>
    <row r="34" spans="1:3" ht="15.75">
      <c r="A34" t="s">
        <v>105</v>
      </c>
      <c r="C34" s="147"/>
    </row>
    <row r="35" ht="15">
      <c r="A35" t="s">
        <v>133</v>
      </c>
    </row>
    <row r="36" ht="15">
      <c r="A36" t="s">
        <v>123</v>
      </c>
    </row>
    <row r="37" ht="15">
      <c r="A37" t="s">
        <v>122</v>
      </c>
    </row>
    <row r="38" ht="15">
      <c r="A38" t="s">
        <v>186</v>
      </c>
    </row>
    <row r="39" ht="15">
      <c r="A39" t="s">
        <v>77</v>
      </c>
    </row>
    <row r="40" ht="15">
      <c r="A40" t="s">
        <v>164</v>
      </c>
    </row>
    <row r="41" ht="15">
      <c r="A41" t="s">
        <v>44</v>
      </c>
    </row>
    <row r="42" ht="15">
      <c r="A42" t="s">
        <v>166</v>
      </c>
    </row>
  </sheetData>
  <mergeCells count="12">
    <mergeCell ref="B1:H1"/>
    <mergeCell ref="C4:F4"/>
    <mergeCell ref="D22:I22"/>
    <mergeCell ref="D23:I23"/>
    <mergeCell ref="A23:B23"/>
    <mergeCell ref="A22:B22"/>
    <mergeCell ref="D19:I19"/>
    <mergeCell ref="D20:I20"/>
    <mergeCell ref="D21:I21"/>
    <mergeCell ref="A21:B21"/>
    <mergeCell ref="A20:B20"/>
    <mergeCell ref="A19:B19"/>
  </mergeCells>
  <printOptions/>
  <pageMargins left="0.5" right="0.25" top="1" bottom="1" header="0.5" footer="0.5"/>
  <pageSetup horizontalDpi="200" verticalDpi="200" orientation="landscape"/>
</worksheet>
</file>

<file path=xl/worksheets/sheet10.xml><?xml version="1.0" encoding="utf-8"?>
<worksheet xmlns="http://schemas.openxmlformats.org/spreadsheetml/2006/main" xmlns:r="http://schemas.openxmlformats.org/officeDocument/2006/relationships">
  <dimension ref="B1:S48"/>
  <sheetViews>
    <sheetView showRowColHeaders="0" showZeros="0" workbookViewId="0" topLeftCell="A1">
      <selection activeCell="F34" sqref="F34"/>
    </sheetView>
  </sheetViews>
  <sheetFormatPr defaultColWidth="9.140625" defaultRowHeight="15"/>
  <cols>
    <col min="1" max="1" width="5.28125" style="0" customWidth="1"/>
    <col min="2" max="2" width="35.8515625" style="0" customWidth="1"/>
    <col min="3" max="3" width="10.00390625" style="0" customWidth="1"/>
    <col min="4" max="4" width="9.7109375" style="0" customWidth="1"/>
    <col min="5" max="5" width="10.140625" style="0" customWidth="1"/>
    <col min="7" max="9" width="10.140625" style="0" customWidth="1"/>
    <col min="10" max="10" width="10.28125" style="0" customWidth="1"/>
    <col min="12" max="16" width="8.8515625" style="49" hidden="1" customWidth="1"/>
    <col min="17" max="17" width="9.7109375" style="49" hidden="1" customWidth="1"/>
    <col min="18" max="19" width="8.8515625" style="49" hidden="1" customWidth="1"/>
    <col min="20" max="20" width="8.8515625" style="0" hidden="1" customWidth="1"/>
  </cols>
  <sheetData>
    <row r="1" spans="2:10" ht="18.75">
      <c r="B1" s="170" t="str">
        <f>'Data Entry'!A2</f>
        <v>State : Virginia</v>
      </c>
      <c r="C1" s="170" t="str">
        <f>'Data Entry'!A$3</f>
        <v>County : Statewide</v>
      </c>
      <c r="F1" s="169" t="str">
        <f>'Data Entry'!C3</f>
        <v> Reporting Period  7/1/2012</v>
      </c>
      <c r="G1" s="142"/>
      <c r="I1" t="str">
        <f>'Data Entry'!C4</f>
        <v>through  6/30/2013</v>
      </c>
      <c r="J1" s="142"/>
    </row>
    <row r="2" ht="15.75" thickBot="1"/>
    <row r="3" spans="2:10" ht="15">
      <c r="B3" s="101" t="s">
        <v>83</v>
      </c>
      <c r="C3" s="36"/>
      <c r="D3" s="82"/>
      <c r="E3" s="82"/>
      <c r="F3" s="82"/>
      <c r="G3" s="82"/>
      <c r="H3" s="82"/>
      <c r="I3" s="82"/>
      <c r="J3" s="24"/>
    </row>
    <row r="4" spans="2:10" ht="64.5">
      <c r="B4" s="29"/>
      <c r="C4" s="74" t="s">
        <v>28</v>
      </c>
      <c r="D4" s="74" t="str">
        <f>Black!$G$1</f>
        <v>Black or African-American</v>
      </c>
      <c r="E4" s="74" t="str">
        <f aca="true" t="shared" si="0" ref="E4:J4">E17</f>
        <v>Hispanic or Latino</v>
      </c>
      <c r="F4" s="74" t="str">
        <f t="shared" si="0"/>
        <v>Asian</v>
      </c>
      <c r="G4" s="74" t="str">
        <f t="shared" si="0"/>
        <v>Native Hawaiian or other Pacific Islanders</v>
      </c>
      <c r="H4" s="74" t="str">
        <f t="shared" si="0"/>
        <v>American Indian or Alaska Native</v>
      </c>
      <c r="I4" s="74" t="str">
        <f t="shared" si="0"/>
        <v>Other/ Mixed</v>
      </c>
      <c r="J4" s="110" t="str">
        <f t="shared" si="0"/>
        <v>All Minorities</v>
      </c>
    </row>
    <row r="5" spans="2:10" ht="15">
      <c r="B5" s="79" t="s">
        <v>165</v>
      </c>
      <c r="C5" s="21">
        <f>White!F7</f>
        <v>0</v>
      </c>
      <c r="D5" s="21">
        <f>Black!F7</f>
        <v>0</v>
      </c>
      <c r="E5" s="21">
        <f>Hispanic!F7</f>
        <v>0</v>
      </c>
      <c r="F5" s="21">
        <f>Asian!F7</f>
        <v>0</v>
      </c>
      <c r="G5" s="21">
        <f>Hawaiian!F7</f>
        <v>0</v>
      </c>
      <c r="H5" s="21">
        <f>'Am Indian'!F7</f>
        <v>0</v>
      </c>
      <c r="I5" s="21">
        <f>'Other - Mixed'!F7</f>
        <v>0</v>
      </c>
      <c r="J5" s="53">
        <f>'All Other Groups'!F7</f>
        <v>0</v>
      </c>
    </row>
    <row r="6" spans="2:10" ht="15">
      <c r="B6" s="79" t="s">
        <v>60</v>
      </c>
      <c r="C6" s="21">
        <f>White!F8</f>
        <v>38.669297484642634</v>
      </c>
      <c r="D6" s="21">
        <f>Black!F8</f>
        <v>105.89121109792826</v>
      </c>
      <c r="E6" s="21">
        <f>Hispanic!F8</f>
        <v>40.37164939976977</v>
      </c>
      <c r="F6" s="21">
        <f>Asian!F8</f>
        <v>10.125100275350693</v>
      </c>
      <c r="G6" s="21">
        <f>Hawaiian!F8</f>
        <v>0</v>
      </c>
      <c r="H6" s="21">
        <f>'Am Indian'!F8</f>
        <v>14.783023366714353</v>
      </c>
      <c r="I6" s="21">
        <f>'Other - Mixed'!F8</f>
        <v>67.58383020622504</v>
      </c>
      <c r="J6" s="53">
        <f>'All Other Groups'!F8</f>
        <v>72.32901155178607</v>
      </c>
    </row>
    <row r="7" spans="2:10" ht="15">
      <c r="B7" s="79" t="s">
        <v>67</v>
      </c>
      <c r="C7" s="21">
        <f>White!F9</f>
        <v>16.051828452106868</v>
      </c>
      <c r="D7" s="21">
        <f>Black!F9</f>
        <v>12.518853695324285</v>
      </c>
      <c r="E7" s="21">
        <f>Hispanic!F9</f>
        <v>13.296479487925517</v>
      </c>
      <c r="F7" s="21">
        <f>Asian!F9</f>
        <v>24.411134903640257</v>
      </c>
      <c r="G7" s="21">
        <f>Hawaiian!F9</f>
        <v>0</v>
      </c>
      <c r="H7" s="21">
        <f>'Am Indian'!F9</f>
        <v>16.129032258064516</v>
      </c>
      <c r="I7" s="21">
        <f>'Other - Mixed'!F9</f>
        <v>23.998381222177255</v>
      </c>
      <c r="J7" s="53">
        <f>'All Other Groups'!F9</f>
        <v>13.988786543852624</v>
      </c>
    </row>
    <row r="8" spans="2:10" ht="15">
      <c r="B8" s="79" t="s">
        <v>112</v>
      </c>
      <c r="C8" s="21">
        <f>White!F10</f>
        <v>12.83932109011083</v>
      </c>
      <c r="D8" s="21">
        <f>Black!F10</f>
        <v>23.249299719887958</v>
      </c>
      <c r="E8" s="21">
        <f>Hispanic!F10</f>
        <v>18.999127145766657</v>
      </c>
      <c r="F8" s="21">
        <f>Asian!F10</f>
        <v>9.635974304068522</v>
      </c>
      <c r="G8" s="21">
        <f>Hawaiian!F10</f>
        <v>0</v>
      </c>
      <c r="H8" s="21">
        <f>'Am Indian'!F10</f>
        <v>6.451612903225807</v>
      </c>
      <c r="I8" s="21">
        <f>'Other - Mixed'!F10</f>
        <v>8.296236341562121</v>
      </c>
      <c r="J8" s="53">
        <f>'All Other Groups'!F10</f>
        <v>20.90909090909091</v>
      </c>
    </row>
    <row r="9" spans="2:10" ht="15">
      <c r="B9" s="79" t="s">
        <v>147</v>
      </c>
      <c r="C9" s="21">
        <f>White!F11</f>
        <v>66.25261016223162</v>
      </c>
      <c r="D9" s="21">
        <f>Black!F11</f>
        <v>70.94376212023272</v>
      </c>
      <c r="E9" s="21">
        <f>Hispanic!F11</f>
        <v>71.63223741635147</v>
      </c>
      <c r="F9" s="21">
        <f>Asian!F11</f>
        <v>56.3169164882227</v>
      </c>
      <c r="G9" s="21">
        <f>Hawaiian!F11</f>
        <v>0</v>
      </c>
      <c r="H9" s="21">
        <f>'Am Indian'!F11</f>
        <v>64.51612903225806</v>
      </c>
      <c r="I9" s="21">
        <f>'Other - Mixed'!F11</f>
        <v>49.89882638607851</v>
      </c>
      <c r="J9" s="53">
        <f>'All Other Groups'!F11</f>
        <v>68.67440929114939</v>
      </c>
    </row>
    <row r="10" spans="2:10" ht="15">
      <c r="B10" s="79" t="s">
        <v>66</v>
      </c>
      <c r="C10" s="21">
        <f>White!F12</f>
        <v>26.798125101018265</v>
      </c>
      <c r="D10" s="21">
        <f>Black!F12</f>
        <v>35.216400911161735</v>
      </c>
      <c r="E10" s="21">
        <f>Hispanic!F12</f>
        <v>36.67749796913078</v>
      </c>
      <c r="F10" s="21">
        <f>Asian!F12</f>
        <v>27.75665399239544</v>
      </c>
      <c r="G10" s="21">
        <f>Hawaiian!F12</f>
        <v>0</v>
      </c>
      <c r="H10" s="21">
        <f>'Am Indian'!F12</f>
        <v>20</v>
      </c>
      <c r="I10" s="21">
        <f>'Other - Mixed'!F12</f>
        <v>23.519870235198702</v>
      </c>
      <c r="J10" s="53">
        <f>'All Other Groups'!F12</f>
        <v>34.452997434103104</v>
      </c>
    </row>
    <row r="11" spans="2:10" ht="15">
      <c r="B11" s="79" t="s">
        <v>159</v>
      </c>
      <c r="C11" s="21">
        <f>White!F13</f>
        <v>61.27864897466828</v>
      </c>
      <c r="D11" s="21">
        <f>Black!F13</f>
        <v>46.01121172919362</v>
      </c>
      <c r="E11" s="21">
        <f>Hispanic!F13</f>
        <v>52.60243632336656</v>
      </c>
      <c r="F11" s="21">
        <f>Asian!F13</f>
        <v>79.45205479452055</v>
      </c>
      <c r="G11" s="21">
        <f>Hawaiian!F13</f>
        <v>0</v>
      </c>
      <c r="H11" s="21">
        <f>'Am Indian'!F13</f>
        <v>125</v>
      </c>
      <c r="I11" s="21">
        <f>'Other - Mixed'!F13</f>
        <v>60.3448275862069</v>
      </c>
      <c r="J11" s="53">
        <f>'All Other Groups'!F13</f>
        <v>48.18889641164523</v>
      </c>
    </row>
    <row r="12" spans="2:10" ht="30.75" customHeight="1">
      <c r="B12" s="79" t="s">
        <v>76</v>
      </c>
      <c r="C12" s="21">
        <f>White!F14</f>
        <v>3.6489746682750304</v>
      </c>
      <c r="D12" s="21">
        <f>Black!F14</f>
        <v>7.222940922811556</v>
      </c>
      <c r="E12" s="21">
        <f>Hispanic!F14</f>
        <v>2.7685492801771874</v>
      </c>
      <c r="F12" s="21">
        <f>Asian!F14</f>
        <v>1.36986301369863</v>
      </c>
      <c r="G12" s="21">
        <f>Hawaiian!F14</f>
        <v>0</v>
      </c>
      <c r="H12" s="21">
        <f>'Am Indian'!F14</f>
        <v>0</v>
      </c>
      <c r="I12" s="21">
        <f>'Other - Mixed'!F14</f>
        <v>3.4482758620689657</v>
      </c>
      <c r="J12" s="53">
        <f>'All Other Groups'!F14</f>
        <v>6.279620853080569</v>
      </c>
    </row>
    <row r="13" spans="2:10" ht="15.75" thickBot="1">
      <c r="B13" s="167" t="s">
        <v>140</v>
      </c>
      <c r="C13" s="62">
        <f>White!F15</f>
        <v>0</v>
      </c>
      <c r="D13" s="62">
        <f>Black!F15</f>
        <v>0</v>
      </c>
      <c r="E13" s="62">
        <f>Hispanic!F15</f>
        <v>0</v>
      </c>
      <c r="F13" s="62">
        <f>Asian!F15</f>
        <v>0</v>
      </c>
      <c r="G13" s="62">
        <f>Hawaiian!F15</f>
        <v>0</v>
      </c>
      <c r="H13" s="62">
        <f>'Am Indian'!F15</f>
        <v>0</v>
      </c>
      <c r="I13" s="62">
        <f>'Other - Mixed'!F15</f>
        <v>0</v>
      </c>
      <c r="J13" s="72">
        <f>'All Other Groups'!F15</f>
        <v>0</v>
      </c>
    </row>
    <row r="14" spans="2:10" ht="15">
      <c r="B14" s="81"/>
      <c r="C14" s="99"/>
      <c r="D14" s="99"/>
      <c r="E14" s="99"/>
      <c r="F14" s="99"/>
      <c r="G14" s="99"/>
      <c r="H14" s="99"/>
      <c r="I14" s="99"/>
      <c r="J14" s="99"/>
    </row>
    <row r="15" ht="15.75" thickBot="1"/>
    <row r="16" spans="2:10" ht="15">
      <c r="B16" s="30" t="s">
        <v>71</v>
      </c>
      <c r="C16" s="36" t="str">
        <f>'Data Entry'!K5</f>
        <v>White</v>
      </c>
      <c r="D16" s="82"/>
      <c r="E16" s="82"/>
      <c r="F16" s="82"/>
      <c r="G16" s="82"/>
      <c r="H16" s="82"/>
      <c r="I16" s="82"/>
      <c r="J16" s="24"/>
    </row>
    <row r="17" spans="2:19" s="160" customFormat="1" ht="64.5">
      <c r="B17" s="29"/>
      <c r="C17" s="74" t="str">
        <f>White!G1</f>
        <v>White</v>
      </c>
      <c r="D17" s="74" t="str">
        <f>Black!$G$1</f>
        <v>Black or African-American</v>
      </c>
      <c r="E17" s="74" t="str">
        <f>Hispanic!G1</f>
        <v>Hispanic or Latino</v>
      </c>
      <c r="F17" s="74" t="str">
        <f>Asian!G1</f>
        <v>Asian</v>
      </c>
      <c r="G17" s="74" t="str">
        <f>Hawaiian!G1</f>
        <v>Native Hawaiian or other Pacific Islanders</v>
      </c>
      <c r="H17" s="74" t="str">
        <f>'Data Entry'!H5</f>
        <v>American Indian or Alaska Native</v>
      </c>
      <c r="I17" s="74" t="str">
        <f>'Data Entry'!I5</f>
        <v>Other/ Mixed</v>
      </c>
      <c r="J17" s="110" t="str">
        <f>'Data Entry'!J5</f>
        <v>All Minorities</v>
      </c>
      <c r="L17" s="113" t="s">
        <v>155</v>
      </c>
      <c r="M17" s="42" t="s">
        <v>125</v>
      </c>
      <c r="N17" s="42" t="s">
        <v>39</v>
      </c>
      <c r="O17" s="42" t="s">
        <v>21</v>
      </c>
      <c r="P17" s="42" t="s">
        <v>234</v>
      </c>
      <c r="Q17" s="158" t="s">
        <v>149</v>
      </c>
      <c r="R17" s="113" t="s">
        <v>82</v>
      </c>
      <c r="S17" s="113" t="s">
        <v>219</v>
      </c>
    </row>
    <row r="18" spans="2:19" ht="15" customHeight="1">
      <c r="B18" s="79" t="s">
        <v>165</v>
      </c>
      <c r="C18" s="51" t="str">
        <f>White!G7</f>
        <v>**</v>
      </c>
      <c r="D18" s="51" t="str">
        <f>Black!$G7</f>
        <v>**</v>
      </c>
      <c r="E18" s="51" t="str">
        <f>Hispanic!G7</f>
        <v>**</v>
      </c>
      <c r="F18" s="51" t="str">
        <f>Asian!G7</f>
        <v>**</v>
      </c>
      <c r="G18" s="51" t="str">
        <f>Hawaiian!G7</f>
        <v>*</v>
      </c>
      <c r="H18" s="51" t="str">
        <f>'Am Indian'!G7</f>
        <v>*</v>
      </c>
      <c r="I18" s="51" t="str">
        <f>'Other - Mixed'!G7</f>
        <v>**</v>
      </c>
      <c r="J18" s="96" t="str">
        <f>'All Other Groups'!G7</f>
        <v>**</v>
      </c>
      <c r="L18" s="49">
        <f>White!L7</f>
        <v>40</v>
      </c>
      <c r="M18" s="49">
        <f>Black!L7</f>
        <v>40</v>
      </c>
      <c r="N18" s="49">
        <f>Hispanic!L7</f>
        <v>40</v>
      </c>
      <c r="O18" s="49">
        <f>Asian!L7</f>
        <v>40</v>
      </c>
      <c r="P18" s="49">
        <f>Hawaiian!L7</f>
        <v>139</v>
      </c>
      <c r="Q18" s="49">
        <f>'Am Indian'!L7</f>
        <v>139</v>
      </c>
      <c r="R18" s="49">
        <f>'Other - Mixed'!L7</f>
        <v>40</v>
      </c>
      <c r="S18" s="49">
        <f>'All Other Groups'!L7</f>
        <v>40</v>
      </c>
    </row>
    <row r="19" spans="2:19" ht="15" customHeight="1">
      <c r="B19" s="79" t="s">
        <v>60</v>
      </c>
      <c r="C19" s="51">
        <f>White!G8</f>
        <v>1</v>
      </c>
      <c r="D19" s="51">
        <f>Black!$G8</f>
        <v>2.7383794893088647</v>
      </c>
      <c r="E19" s="51">
        <f>Hispanic!G8</f>
        <v>1.044023347354661</v>
      </c>
      <c r="F19" s="51">
        <f>Asian!G8</f>
        <v>0.2618382265509695</v>
      </c>
      <c r="G19" s="51" t="str">
        <f>Hawaiian!G8</f>
        <v>*</v>
      </c>
      <c r="H19" s="51" t="str">
        <f>'Am Indian'!G8</f>
        <v>*</v>
      </c>
      <c r="I19" s="51">
        <f>'Other - Mixed'!G8</f>
        <v>1.7477387644051643</v>
      </c>
      <c r="J19" s="96">
        <f>'All Other Groups'!G8</f>
        <v>1.870450622499963</v>
      </c>
      <c r="L19" s="49">
        <f>White!L8</f>
        <v>2</v>
      </c>
      <c r="M19" s="49">
        <f>Black!L8</f>
        <v>1</v>
      </c>
      <c r="N19" s="49">
        <f>Hispanic!L8</f>
        <v>1</v>
      </c>
      <c r="O19" s="49">
        <f>Asian!L8</f>
        <v>1</v>
      </c>
      <c r="P19" s="49">
        <f>Hawaiian!L8</f>
        <v>139</v>
      </c>
      <c r="Q19" s="49">
        <f>'Am Indian'!L8</f>
        <v>100</v>
      </c>
      <c r="R19" s="49">
        <f>'Other - Mixed'!L8</f>
        <v>1</v>
      </c>
      <c r="S19" s="49">
        <f>'All Other Groups'!L8</f>
        <v>1</v>
      </c>
    </row>
    <row r="20" spans="2:19" ht="15" customHeight="1">
      <c r="B20" s="79" t="s">
        <v>67</v>
      </c>
      <c r="C20" s="51">
        <f>White!G9</f>
        <v>1</v>
      </c>
      <c r="D20" s="51">
        <f>Black!$G9</f>
        <v>0.7799020362494052</v>
      </c>
      <c r="E20" s="51">
        <f>Hispanic!G9</f>
        <v>0.8283467224682618</v>
      </c>
      <c r="F20" s="51">
        <f>Asian!G9</f>
        <v>1.5207697351410578</v>
      </c>
      <c r="G20" s="51" t="str">
        <f>Hawaiian!G9</f>
        <v>*</v>
      </c>
      <c r="H20" s="51" t="str">
        <f>'Am Indian'!G9</f>
        <v>*</v>
      </c>
      <c r="I20" s="51">
        <f>'Other - Mixed'!G9</f>
        <v>1.4950559242381742</v>
      </c>
      <c r="J20" s="96">
        <f>'All Other Groups'!G9</f>
        <v>0.8714762050684973</v>
      </c>
      <c r="L20" s="49">
        <f>White!L9</f>
        <v>2</v>
      </c>
      <c r="M20" s="49">
        <f>Black!L9</f>
        <v>1</v>
      </c>
      <c r="N20" s="49">
        <f>Hispanic!L9</f>
        <v>1</v>
      </c>
      <c r="O20" s="49">
        <f>Asian!L9</f>
        <v>1</v>
      </c>
      <c r="P20" s="49">
        <f>Hawaiian!L9</f>
        <v>139</v>
      </c>
      <c r="Q20" s="49">
        <f>'Am Indian'!L9</f>
        <v>139</v>
      </c>
      <c r="R20" s="49">
        <f>'Other - Mixed'!L9</f>
        <v>1</v>
      </c>
      <c r="S20" s="49">
        <f>'All Other Groups'!L9</f>
        <v>1</v>
      </c>
    </row>
    <row r="21" spans="2:19" ht="15" customHeight="1">
      <c r="B21" s="79" t="s">
        <v>112</v>
      </c>
      <c r="C21" s="51">
        <f>White!G10</f>
        <v>1</v>
      </c>
      <c r="D21" s="51">
        <f>Black!$G10</f>
        <v>1.8107888693425664</v>
      </c>
      <c r="E21" s="51">
        <f>Hispanic!G10</f>
        <v>1.4797610412905917</v>
      </c>
      <c r="F21" s="51">
        <f>Asian!G10</f>
        <v>0.7505049711304745</v>
      </c>
      <c r="G21" s="51" t="str">
        <f>Hawaiian!G10</f>
        <v>*</v>
      </c>
      <c r="H21" s="51" t="str">
        <f>'Am Indian'!G10</f>
        <v>*</v>
      </c>
      <c r="I21" s="51">
        <f>'Other - Mixed'!G10</f>
        <v>0.6461584910398488</v>
      </c>
      <c r="J21" s="96">
        <f>'All Other Groups'!G10</f>
        <v>1.6285199787701874</v>
      </c>
      <c r="L21" s="49">
        <f>White!L10</f>
        <v>2</v>
      </c>
      <c r="M21" s="49">
        <f>Black!L10</f>
        <v>1</v>
      </c>
      <c r="N21" s="49">
        <f>Hispanic!L10</f>
        <v>1</v>
      </c>
      <c r="O21" s="49">
        <f>Asian!L10</f>
        <v>2</v>
      </c>
      <c r="P21" s="49">
        <f>Hawaiian!L10</f>
        <v>139</v>
      </c>
      <c r="Q21" s="49">
        <f>'Am Indian'!L10</f>
        <v>139</v>
      </c>
      <c r="R21" s="49">
        <f>'Other - Mixed'!L10</f>
        <v>1</v>
      </c>
      <c r="S21" s="49">
        <f>'All Other Groups'!L10</f>
        <v>1</v>
      </c>
    </row>
    <row r="22" spans="2:19" ht="15" customHeight="1">
      <c r="B22" s="79" t="s">
        <v>147</v>
      </c>
      <c r="C22" s="51">
        <f>White!G11</f>
        <v>1</v>
      </c>
      <c r="D22" s="51">
        <f>Black!$G11</f>
        <v>1.0708070511714778</v>
      </c>
      <c r="E22" s="51">
        <f>Hispanic!G11</f>
        <v>1.081198721694841</v>
      </c>
      <c r="F22" s="51">
        <f>Asian!G11</f>
        <v>0.8500331737922543</v>
      </c>
      <c r="G22" s="51" t="str">
        <f>Hawaiian!G11</f>
        <v>*</v>
      </c>
      <c r="H22" s="51" t="str">
        <f>'Am Indian'!G11</f>
        <v>*</v>
      </c>
      <c r="I22" s="51">
        <f>'Other - Mixed'!G11</f>
        <v>0.7531601587302315</v>
      </c>
      <c r="J22" s="96">
        <f>'All Other Groups'!G11</f>
        <v>1.0365540183698054</v>
      </c>
      <c r="L22" s="49">
        <f>White!L11</f>
        <v>2</v>
      </c>
      <c r="M22" s="49">
        <f>Black!L11</f>
        <v>1</v>
      </c>
      <c r="N22" s="49">
        <f>Hispanic!L11</f>
        <v>1</v>
      </c>
      <c r="O22" s="49">
        <f>Asian!L11</f>
        <v>1</v>
      </c>
      <c r="P22" s="49">
        <f>Hawaiian!L11</f>
        <v>139</v>
      </c>
      <c r="Q22" s="49">
        <f>'Am Indian'!L11</f>
        <v>101</v>
      </c>
      <c r="R22" s="49">
        <f>'Other - Mixed'!L11</f>
        <v>1</v>
      </c>
      <c r="S22" s="49">
        <f>'All Other Groups'!L11</f>
        <v>1</v>
      </c>
    </row>
    <row r="23" spans="2:19" ht="15" customHeight="1">
      <c r="B23" s="79" t="s">
        <v>66</v>
      </c>
      <c r="C23" s="51">
        <f>White!G12</f>
        <v>1</v>
      </c>
      <c r="D23" s="51">
        <f>Black!$G12</f>
        <v>1.3141367457017952</v>
      </c>
      <c r="E23" s="51">
        <f>Hispanic!G12</f>
        <v>1.3686591069662977</v>
      </c>
      <c r="F23" s="51">
        <f>Asian!G12</f>
        <v>1.0357685057355281</v>
      </c>
      <c r="G23" s="51" t="str">
        <f>Hawaiian!G12</f>
        <v>*</v>
      </c>
      <c r="H23" s="51" t="str">
        <f>'Am Indian'!G12</f>
        <v>*</v>
      </c>
      <c r="I23" s="51">
        <f>'Other - Mixed'!G12</f>
        <v>0.8776684990661904</v>
      </c>
      <c r="J23" s="96">
        <f>'All Other Groups'!G12</f>
        <v>1.2856495484004578</v>
      </c>
      <c r="L23" s="49">
        <f>White!L12</f>
        <v>2</v>
      </c>
      <c r="M23" s="49">
        <f>Black!L12</f>
        <v>1</v>
      </c>
      <c r="N23" s="49">
        <f>Hispanic!L12</f>
        <v>1</v>
      </c>
      <c r="O23" s="49">
        <f>Asian!L12</f>
        <v>2</v>
      </c>
      <c r="P23" s="49">
        <f>Hawaiian!L12</f>
        <v>139</v>
      </c>
      <c r="Q23" s="49">
        <f>'Am Indian'!L12</f>
        <v>139</v>
      </c>
      <c r="R23" s="49">
        <f>'Other - Mixed'!L12</f>
        <v>1</v>
      </c>
      <c r="S23" s="49">
        <f>'All Other Groups'!L12</f>
        <v>1</v>
      </c>
    </row>
    <row r="24" spans="2:19" ht="15" customHeight="1">
      <c r="B24" s="79" t="s">
        <v>159</v>
      </c>
      <c r="C24" s="51">
        <f>White!G13</f>
        <v>1</v>
      </c>
      <c r="D24" s="51">
        <f>Black!$G13</f>
        <v>0.750852254399636</v>
      </c>
      <c r="E24" s="51">
        <f>Hispanic!G13</f>
        <v>0.8584137738596629</v>
      </c>
      <c r="F24" s="51">
        <f>Asian!G13</f>
        <v>1.2965699493042822</v>
      </c>
      <c r="G24" s="51" t="str">
        <f>Hawaiian!G13</f>
        <v>*</v>
      </c>
      <c r="H24" s="51" t="str">
        <f>'Am Indian'!G13</f>
        <v>*</v>
      </c>
      <c r="I24" s="51">
        <f>'Other - Mixed'!G13</f>
        <v>0.9847610643497149</v>
      </c>
      <c r="J24" s="96">
        <f>'All Other Groups'!G13</f>
        <v>0.7863896678199586</v>
      </c>
      <c r="L24" s="49">
        <f>White!L13</f>
        <v>2</v>
      </c>
      <c r="M24" s="49">
        <f>Black!L13</f>
        <v>1</v>
      </c>
      <c r="N24" s="49">
        <f>Hispanic!L13</f>
        <v>1</v>
      </c>
      <c r="O24" s="49">
        <f>Asian!L13</f>
        <v>2</v>
      </c>
      <c r="P24" s="49">
        <f>Hawaiian!L13</f>
        <v>139</v>
      </c>
      <c r="Q24" s="49">
        <f>'Am Indian'!L13</f>
        <v>139</v>
      </c>
      <c r="R24" s="49">
        <f>'Other - Mixed'!L13</f>
        <v>2</v>
      </c>
      <c r="S24" s="49">
        <f>'All Other Groups'!L13</f>
        <v>1</v>
      </c>
    </row>
    <row r="25" spans="2:19" ht="15" customHeight="1">
      <c r="B25" s="79" t="s">
        <v>76</v>
      </c>
      <c r="C25" s="51">
        <f>White!G14</f>
        <v>1</v>
      </c>
      <c r="D25" s="51">
        <f>Black!$G14</f>
        <v>1.9794439752101751</v>
      </c>
      <c r="E25" s="51">
        <f>Hispanic!G14</f>
        <v>0.75871978620393</v>
      </c>
      <c r="F25" s="51" t="str">
        <f>Asian!G14</f>
        <v>**</v>
      </c>
      <c r="G25" s="51" t="str">
        <f>Hawaiian!G14</f>
        <v>*</v>
      </c>
      <c r="H25" s="51" t="str">
        <f>'Am Indian'!G14</f>
        <v>*</v>
      </c>
      <c r="I25" s="51">
        <f>'Other - Mixed'!G14</f>
        <v>0.944998575092619</v>
      </c>
      <c r="J25" s="96">
        <f>'All Other Groups'!G14</f>
        <v>1.7209274999020798</v>
      </c>
      <c r="L25" s="49">
        <f>White!L14</f>
        <v>2</v>
      </c>
      <c r="M25" s="49">
        <f>Black!L14</f>
        <v>1</v>
      </c>
      <c r="N25" s="49">
        <f>Hispanic!L14</f>
        <v>2</v>
      </c>
      <c r="O25" s="49">
        <f>Asian!L14</f>
        <v>40</v>
      </c>
      <c r="P25" s="49">
        <f>Hawaiian!L14</f>
        <v>139</v>
      </c>
      <c r="Q25" s="49">
        <f>'Am Indian'!L14</f>
        <v>139</v>
      </c>
      <c r="R25" s="49">
        <f>'Other - Mixed'!L14</f>
        <v>2</v>
      </c>
      <c r="S25" s="49">
        <f>'All Other Groups'!L14</f>
        <v>1</v>
      </c>
    </row>
    <row r="26" spans="2:19" ht="15" customHeight="1">
      <c r="B26" s="79" t="s">
        <v>140</v>
      </c>
      <c r="C26" s="51" t="str">
        <f>White!G15</f>
        <v>**</v>
      </c>
      <c r="D26" s="51" t="str">
        <f>Black!$G15</f>
        <v>**</v>
      </c>
      <c r="E26" s="51" t="str">
        <f>Hispanic!G15</f>
        <v>**</v>
      </c>
      <c r="F26" s="51" t="str">
        <f>Asian!G15</f>
        <v>**</v>
      </c>
      <c r="G26" s="51" t="str">
        <f>Hawaiian!G15</f>
        <v>*</v>
      </c>
      <c r="H26" s="51" t="str">
        <f>'Am Indian'!G15</f>
        <v>*</v>
      </c>
      <c r="I26" s="51" t="str">
        <f>'Other - Mixed'!G15</f>
        <v>**</v>
      </c>
      <c r="J26" s="96" t="str">
        <f>'All Other Groups'!G15</f>
        <v>**</v>
      </c>
      <c r="L26" s="49">
        <f>White!L15</f>
        <v>40</v>
      </c>
      <c r="M26" s="49">
        <f>Black!L15</f>
        <v>40</v>
      </c>
      <c r="N26" s="49">
        <f>Hispanic!L15</f>
        <v>40</v>
      </c>
      <c r="O26" s="49">
        <f>Asian!L15</f>
        <v>40</v>
      </c>
      <c r="P26" s="49">
        <f>Hawaiian!L15</f>
        <v>139</v>
      </c>
      <c r="Q26" s="49">
        <f>'Am Indian'!L15</f>
        <v>139</v>
      </c>
      <c r="R26" s="49">
        <f>'Other - Mixed'!L15</f>
        <v>40</v>
      </c>
      <c r="S26" s="49">
        <f>'All Other Groups'!L15</f>
        <v>40</v>
      </c>
    </row>
    <row r="27" spans="2:10" ht="15.75" thickBot="1">
      <c r="B27" s="67" t="s">
        <v>75</v>
      </c>
      <c r="C27" s="145" t="str">
        <f>'Data Entry'!$C$16</f>
        <v>Yes</v>
      </c>
      <c r="D27" s="145" t="str">
        <f>'Data Entry'!$D$16</f>
        <v>Yes</v>
      </c>
      <c r="E27" s="145" t="str">
        <f>'Data Entry'!$E$16</f>
        <v>Yes</v>
      </c>
      <c r="F27" s="145" t="str">
        <f>'Data Entry'!F16</f>
        <v>Yes</v>
      </c>
      <c r="G27" s="145" t="str">
        <f>'Data Entry'!G16</f>
        <v>No</v>
      </c>
      <c r="H27" s="145" t="str">
        <f>'Data Entry'!H16</f>
        <v>No</v>
      </c>
      <c r="I27" s="145" t="str">
        <f>'Data Entry'!I16</f>
        <v>Yes</v>
      </c>
      <c r="J27" s="116"/>
    </row>
    <row r="28" ht="15">
      <c r="B28" t="s">
        <v>113</v>
      </c>
    </row>
    <row r="29" spans="2:5" ht="15">
      <c r="B29" t="s">
        <v>151</v>
      </c>
      <c r="E29" s="61" t="s">
        <v>118</v>
      </c>
    </row>
    <row r="30" spans="2:5" ht="15">
      <c r="B30" t="s">
        <v>34</v>
      </c>
      <c r="E30" t="s">
        <v>57</v>
      </c>
    </row>
    <row r="31" spans="2:5" ht="15">
      <c r="B31" t="s">
        <v>199</v>
      </c>
      <c r="E31" t="s">
        <v>195</v>
      </c>
    </row>
    <row r="32" spans="2:5" ht="15">
      <c r="B32" t="s">
        <v>103</v>
      </c>
      <c r="E32" t="s">
        <v>214</v>
      </c>
    </row>
    <row r="33" spans="2:5" ht="15">
      <c r="B33" t="s">
        <v>129</v>
      </c>
      <c r="E33" s="163" t="s">
        <v>180</v>
      </c>
    </row>
    <row r="34" ht="15">
      <c r="E34" s="163"/>
    </row>
    <row r="35" ht="15.75" thickBot="1"/>
    <row r="36" spans="2:10" ht="15">
      <c r="B36" s="101" t="s">
        <v>102</v>
      </c>
      <c r="C36" s="82"/>
      <c r="D36" s="82"/>
      <c r="E36" s="82"/>
      <c r="F36" s="82"/>
      <c r="G36" s="82"/>
      <c r="H36" s="82"/>
      <c r="I36" s="82"/>
      <c r="J36" s="24"/>
    </row>
    <row r="37" spans="2:10" ht="15.75" thickBot="1">
      <c r="B37" s="86" t="s">
        <v>97</v>
      </c>
      <c r="C37" s="131"/>
      <c r="D37" s="131"/>
      <c r="E37" s="131"/>
      <c r="F37" s="131"/>
      <c r="G37" s="131"/>
      <c r="H37" s="131"/>
      <c r="I37" s="131"/>
      <c r="J37" s="90" t="str">
        <f>C16</f>
        <v>White</v>
      </c>
    </row>
    <row r="38" spans="2:10" ht="70.5" customHeight="1">
      <c r="B38" s="105" t="s">
        <v>14</v>
      </c>
      <c r="C38" s="98" t="s">
        <v>174</v>
      </c>
      <c r="D38" s="98" t="str">
        <f aca="true" t="shared" si="1" ref="D38:J38">D17</f>
        <v>Black or African-American</v>
      </c>
      <c r="E38" s="98" t="str">
        <f t="shared" si="1"/>
        <v>Hispanic or Latino</v>
      </c>
      <c r="F38" s="98" t="str">
        <f t="shared" si="1"/>
        <v>Asian</v>
      </c>
      <c r="G38" s="98" t="str">
        <f t="shared" si="1"/>
        <v>Native Hawaiian or other Pacific Islanders</v>
      </c>
      <c r="H38" s="98" t="str">
        <f t="shared" si="1"/>
        <v>American Indian or Alaska Native</v>
      </c>
      <c r="I38" s="98" t="str">
        <f t="shared" si="1"/>
        <v>Other/ Mixed</v>
      </c>
      <c r="J38" s="26" t="str">
        <f t="shared" si="1"/>
        <v>All Minorities</v>
      </c>
    </row>
    <row r="39" spans="2:10" ht="15" customHeight="1">
      <c r="B39" s="79" t="s">
        <v>165</v>
      </c>
      <c r="C39" s="152">
        <f>White!S7</f>
        <v>0</v>
      </c>
      <c r="D39" s="3">
        <f>Black!S7</f>
        <v>0</v>
      </c>
      <c r="E39" s="3">
        <f>Hispanic!S7</f>
        <v>0</v>
      </c>
      <c r="F39" s="3">
        <f>Asian!S7</f>
        <v>0</v>
      </c>
      <c r="G39" s="3">
        <f>Hawaiian!S7</f>
        <v>0</v>
      </c>
      <c r="H39" s="3">
        <f>'Am Indian'!S7</f>
        <v>0</v>
      </c>
      <c r="I39" s="3">
        <f>'Other - Mixed'!S7</f>
        <v>0</v>
      </c>
      <c r="J39" s="70">
        <f>'All Other Groups'!S7</f>
        <v>0</v>
      </c>
    </row>
    <row r="40" spans="2:10" ht="15">
      <c r="B40" s="79" t="s">
        <v>60</v>
      </c>
      <c r="C40" s="152">
        <f>White!S8</f>
        <v>0</v>
      </c>
      <c r="D40" s="3">
        <f>Black!S8</f>
        <v>-11785</v>
      </c>
      <c r="E40" s="3">
        <f>Hispanic!S8</f>
        <v>-145</v>
      </c>
      <c r="F40" s="3">
        <f>Asian!S8</f>
        <v>1317</v>
      </c>
      <c r="G40" s="3">
        <f>Hawaiian!S8</f>
        <v>0</v>
      </c>
      <c r="H40" s="3">
        <f>'Am Indian'!S8</f>
        <v>50</v>
      </c>
      <c r="I40" s="3">
        <f>'Other - Mixed'!S8</f>
        <v>-1057</v>
      </c>
      <c r="J40" s="70">
        <f>'All Other Groups'!S8</f>
        <v>-11620</v>
      </c>
    </row>
    <row r="41" spans="2:10" ht="15">
      <c r="B41" s="79" t="s">
        <v>67</v>
      </c>
      <c r="C41" s="152">
        <f>White!S9</f>
        <v>0</v>
      </c>
      <c r="D41" s="3">
        <f>Black!S9</f>
        <v>656</v>
      </c>
      <c r="E41" s="3">
        <f>Hispanic!S9</f>
        <v>95</v>
      </c>
      <c r="F41" s="3">
        <f>Asian!S9</f>
        <v>-39</v>
      </c>
      <c r="G41" s="3">
        <f>Hawaiian!S9</f>
        <v>0</v>
      </c>
      <c r="H41" s="3">
        <f>'Am Indian'!S9</f>
        <v>0</v>
      </c>
      <c r="I41" s="3">
        <f>'Other - Mixed'!S9</f>
        <v>-196</v>
      </c>
      <c r="J41" s="70">
        <f>'All Other Groups'!S9</f>
        <v>515</v>
      </c>
    </row>
    <row r="42" spans="2:10" ht="15">
      <c r="B42" s="79" t="s">
        <v>112</v>
      </c>
      <c r="C42" s="152">
        <f>White!S10</f>
        <v>0</v>
      </c>
      <c r="D42" s="3">
        <f>Black!S10</f>
        <v>-1932</v>
      </c>
      <c r="E42" s="3">
        <f>Hispanic!S10</f>
        <v>-212</v>
      </c>
      <c r="F42" s="3">
        <f>Asian!S10</f>
        <v>15</v>
      </c>
      <c r="G42" s="3">
        <f>Hawaiian!S10</f>
        <v>0</v>
      </c>
      <c r="H42" s="3">
        <f>'Am Indian'!S10</f>
        <v>2</v>
      </c>
      <c r="I42" s="3">
        <f>'Other - Mixed'!S10</f>
        <v>112</v>
      </c>
      <c r="J42" s="70">
        <f>'All Other Groups'!S10</f>
        <v>-2015</v>
      </c>
    </row>
    <row r="43" spans="2:10" ht="15">
      <c r="B43" s="79" t="s">
        <v>147</v>
      </c>
      <c r="C43" s="152">
        <f>White!S11</f>
        <v>0</v>
      </c>
      <c r="D43" s="3">
        <f>Black!S11</f>
        <v>-871</v>
      </c>
      <c r="E43" s="3">
        <f>Hispanic!S11</f>
        <v>-185</v>
      </c>
      <c r="F43" s="3">
        <f>Asian!S11</f>
        <v>46</v>
      </c>
      <c r="G43" s="3">
        <f>Hawaiian!S11</f>
        <v>0</v>
      </c>
      <c r="H43" s="3">
        <f>'Am Indian'!S11</f>
        <v>1</v>
      </c>
      <c r="I43" s="3">
        <f>'Other - Mixed'!S11</f>
        <v>404</v>
      </c>
      <c r="J43" s="70">
        <f>'All Other Groups'!S11</f>
        <v>-605</v>
      </c>
    </row>
    <row r="44" spans="2:10" ht="15">
      <c r="B44" s="79" t="s">
        <v>66</v>
      </c>
      <c r="C44" s="152">
        <f>White!S12</f>
        <v>0</v>
      </c>
      <c r="D44" s="3">
        <f>Black!S12</f>
        <v>-1109</v>
      </c>
      <c r="E44" s="3">
        <f>Hispanic!S12</f>
        <v>-243</v>
      </c>
      <c r="F44" s="3">
        <f>Asian!S12</f>
        <v>-2</v>
      </c>
      <c r="G44" s="3">
        <f>Hawaiian!S12</f>
        <v>0</v>
      </c>
      <c r="H44" s="3">
        <f>'Am Indian'!S12</f>
        <v>1</v>
      </c>
      <c r="I44" s="3">
        <f>'Other - Mixed'!S12</f>
        <v>40</v>
      </c>
      <c r="J44" s="70">
        <f>'All Other Groups'!S12</f>
        <v>-1313</v>
      </c>
    </row>
    <row r="45" spans="2:10" ht="15">
      <c r="B45" s="79" t="s">
        <v>159</v>
      </c>
      <c r="C45" s="152">
        <f>White!S13</f>
        <v>0</v>
      </c>
      <c r="D45" s="3">
        <f>Black!S13</f>
        <v>708</v>
      </c>
      <c r="E45" s="3">
        <f>Hispanic!S13</f>
        <v>78</v>
      </c>
      <c r="F45" s="3">
        <f>Asian!S13</f>
        <v>-13</v>
      </c>
      <c r="G45" s="3">
        <f>Hawaiian!S13</f>
        <v>0</v>
      </c>
      <c r="H45" s="3">
        <f>'Am Indian'!S13</f>
        <v>-2</v>
      </c>
      <c r="I45" s="3">
        <f>'Other - Mixed'!S13</f>
        <v>3</v>
      </c>
      <c r="J45" s="70">
        <f>'All Other Groups'!S13</f>
        <v>773</v>
      </c>
    </row>
    <row r="46" spans="2:10" ht="25.5">
      <c r="B46" s="79" t="s">
        <v>76</v>
      </c>
      <c r="C46" s="152">
        <f>White!S14</f>
        <v>0</v>
      </c>
      <c r="D46" s="3">
        <f>Black!S14</f>
        <v>-166</v>
      </c>
      <c r="E46" s="3">
        <f>Hispanic!S14</f>
        <v>8</v>
      </c>
      <c r="F46" s="3">
        <f>Asian!S14</f>
        <v>2</v>
      </c>
      <c r="G46" s="3">
        <f>Hawaiian!S14</f>
        <v>0</v>
      </c>
      <c r="H46" s="3">
        <f>'Am Indian'!S14</f>
        <v>0</v>
      </c>
      <c r="I46" s="3">
        <f>'Other - Mixed'!S14</f>
        <v>1</v>
      </c>
      <c r="J46" s="70">
        <f>'All Other Groups'!S14</f>
        <v>-155</v>
      </c>
    </row>
    <row r="47" spans="2:10" ht="15">
      <c r="B47" s="79" t="s">
        <v>140</v>
      </c>
      <c r="C47" s="152">
        <f>White!S15</f>
        <v>0</v>
      </c>
      <c r="D47" s="3">
        <f>Black!S15</f>
        <v>0</v>
      </c>
      <c r="E47" s="3">
        <f>Hispanic!S15</f>
        <v>0</v>
      </c>
      <c r="F47" s="3">
        <f>Asian!S15</f>
        <v>0</v>
      </c>
      <c r="G47" s="3">
        <f>Hawaiian!S15</f>
        <v>0</v>
      </c>
      <c r="H47" s="3">
        <f>'Am Indian'!S15</f>
        <v>0</v>
      </c>
      <c r="I47" s="3">
        <f>'Other - Mixed'!S15</f>
        <v>0</v>
      </c>
      <c r="J47" s="70">
        <f>'All Other Groups'!S15</f>
        <v>0</v>
      </c>
    </row>
    <row r="48" spans="2:10" ht="15.75" thickBot="1">
      <c r="B48" s="37" t="str">
        <f>Black!B$16</f>
        <v>release date: March, 2011</v>
      </c>
      <c r="C48" s="59">
        <f>White!S16</f>
        <v>0</v>
      </c>
      <c r="D48" s="76">
        <f>Black!S16</f>
        <v>0</v>
      </c>
      <c r="E48" s="76">
        <f>Hispanic!S16</f>
        <v>0</v>
      </c>
      <c r="F48" s="76">
        <f>Asian!S16</f>
        <v>0</v>
      </c>
      <c r="G48" s="76">
        <f>Hawaiian!S16</f>
        <v>0</v>
      </c>
      <c r="H48" s="76">
        <f>'Am Indian'!S16</f>
        <v>0</v>
      </c>
      <c r="I48" s="76">
        <f>'Other - Mixed'!S16</f>
        <v>0</v>
      </c>
      <c r="J48" s="91">
        <f>'All Other Groups'!S16</f>
        <v>0</v>
      </c>
    </row>
  </sheetData>
  <conditionalFormatting sqref="C5:D14 H5:H14 D18:D26 H18:H26 D39:D48 H39:H48">
    <cfRule type="expression" priority="1" dxfId="0" stopIfTrue="1">
      <formula>L5=1</formula>
    </cfRule>
  </conditionalFormatting>
  <conditionalFormatting sqref="E5:E14 E18:E26 E39:E48">
    <cfRule type="expression" priority="2" dxfId="0" stopIfTrue="1">
      <formula>$N5=1</formula>
    </cfRule>
  </conditionalFormatting>
  <conditionalFormatting sqref="F5:F14 F18:F26 F39:F48">
    <cfRule type="expression" priority="3" dxfId="0" stopIfTrue="1">
      <formula>$O5=1</formula>
    </cfRule>
  </conditionalFormatting>
  <conditionalFormatting sqref="G5:G14 G18:G26 G39:G48">
    <cfRule type="expression" priority="4" dxfId="0" stopIfTrue="1">
      <formula>$P5=1</formula>
    </cfRule>
  </conditionalFormatting>
  <conditionalFormatting sqref="I5:I14 I18:I26 I39:I48">
    <cfRule type="expression" priority="5" dxfId="0" stopIfTrue="1">
      <formula>$R5=1</formula>
    </cfRule>
  </conditionalFormatting>
  <conditionalFormatting sqref="J5:J14 J18:J26 J39:J48">
    <cfRule type="expression" priority="6" dxfId="0" stopIfTrue="1">
      <formula>$S5=1</formula>
    </cfRule>
  </conditionalFormatting>
  <conditionalFormatting sqref="C18">
    <cfRule type="expression" priority="7" dxfId="0" stopIfTrue="1">
      <formula>L18=1</formula>
    </cfRule>
  </conditionalFormatting>
  <conditionalFormatting sqref="C19:C26">
    <cfRule type="expression" priority="8" dxfId="0" stopIfTrue="1">
      <formula>L19=1</formula>
    </cfRule>
  </conditionalFormatting>
  <printOptions/>
  <pageMargins left="0.36" right="0.27" top="0.49" bottom="0.5" header="0" footer="0.5"/>
  <pageSetup horizontalDpi="300" verticalDpi="300" orientation="portrait" scale="80"/>
</worksheet>
</file>

<file path=xl/worksheets/sheet11.xml><?xml version="1.0" encoding="utf-8"?>
<worksheet xmlns="http://schemas.openxmlformats.org/spreadsheetml/2006/main" xmlns:r="http://schemas.openxmlformats.org/officeDocument/2006/relationships">
  <dimension ref="A1:J25"/>
  <sheetViews>
    <sheetView showGridLines="0" workbookViewId="0" topLeftCell="A1">
      <selection activeCell="L10" sqref="L10"/>
    </sheetView>
  </sheetViews>
  <sheetFormatPr defaultColWidth="9.140625" defaultRowHeight="15"/>
  <cols>
    <col min="1" max="1" width="33.421875" style="0" customWidth="1"/>
    <col min="7" max="7" width="8.7109375" style="0" customWidth="1"/>
  </cols>
  <sheetData>
    <row r="1" ht="15">
      <c r="A1" s="44" t="s">
        <v>68</v>
      </c>
    </row>
    <row r="2" spans="2:10" ht="39.75" thickBot="1">
      <c r="B2" s="106" t="s">
        <v>138</v>
      </c>
      <c r="C2" s="106" t="s">
        <v>174</v>
      </c>
      <c r="D2" s="106" t="s">
        <v>30</v>
      </c>
      <c r="E2" s="106" t="s">
        <v>104</v>
      </c>
      <c r="F2" s="106" t="s">
        <v>235</v>
      </c>
      <c r="G2" s="106" t="s">
        <v>172</v>
      </c>
      <c r="H2" s="106" t="s">
        <v>109</v>
      </c>
      <c r="I2" s="106" t="s">
        <v>36</v>
      </c>
      <c r="J2" s="106" t="s">
        <v>11</v>
      </c>
    </row>
    <row r="3" spans="1:10" ht="15.75" customHeight="1" thickBot="1">
      <c r="A3" s="146" t="s">
        <v>165</v>
      </c>
      <c r="B3" s="43">
        <f>'Data Entry'!B7</f>
        <v>0</v>
      </c>
      <c r="C3" s="43">
        <f>'Data Entry'!C7</f>
        <v>0</v>
      </c>
      <c r="D3" s="43">
        <f>'Data Entry'!D7</f>
        <v>0</v>
      </c>
      <c r="E3" s="43">
        <f>'Data Entry'!E7</f>
        <v>0</v>
      </c>
      <c r="F3" s="43">
        <f>'Data Entry'!F7</f>
        <v>0</v>
      </c>
      <c r="G3" s="43">
        <f>'Data Entry'!G7</f>
        <v>0</v>
      </c>
      <c r="H3" s="43">
        <f>'Data Entry'!H7</f>
        <v>0</v>
      </c>
      <c r="I3" s="43">
        <f>'Data Entry'!I7</f>
        <v>0</v>
      </c>
      <c r="J3" s="43">
        <f>'Data Entry'!J7</f>
        <v>0</v>
      </c>
    </row>
    <row r="4" spans="1:10" ht="15.75" customHeight="1" thickBot="1">
      <c r="A4" s="7" t="s">
        <v>60</v>
      </c>
      <c r="B4" s="43">
        <f>'Data Entry'!B8</f>
        <v>43647</v>
      </c>
      <c r="C4" s="43">
        <f>'Data Entry'!C8</f>
        <v>18677</v>
      </c>
      <c r="D4" s="43">
        <f>'Data Entry'!D8</f>
        <v>18564</v>
      </c>
      <c r="E4" s="43">
        <f>'Data Entry'!E8</f>
        <v>3437</v>
      </c>
      <c r="F4" s="43">
        <f>'Data Entry'!F8</f>
        <v>467</v>
      </c>
      <c r="G4" s="43">
        <f>'Data Entry'!G8</f>
        <v>0</v>
      </c>
      <c r="H4" s="43">
        <f>'Data Entry'!H8</f>
        <v>31</v>
      </c>
      <c r="I4" s="43">
        <f>'Data Entry'!I8</f>
        <v>2471</v>
      </c>
      <c r="J4" s="43">
        <f>'Data Entry'!J8</f>
        <v>24970</v>
      </c>
    </row>
    <row r="5" spans="1:10" ht="15.75" customHeight="1" thickBot="1">
      <c r="A5" s="7" t="s">
        <v>67</v>
      </c>
      <c r="B5" s="43">
        <f>'Data Entry'!B9</f>
        <v>6491</v>
      </c>
      <c r="C5" s="43">
        <f>'Data Entry'!C9</f>
        <v>2998</v>
      </c>
      <c r="D5" s="43">
        <f>'Data Entry'!D9</f>
        <v>2324</v>
      </c>
      <c r="E5" s="43">
        <f>'Data Entry'!E9</f>
        <v>457</v>
      </c>
      <c r="F5" s="43">
        <f>'Data Entry'!F9</f>
        <v>114</v>
      </c>
      <c r="G5" s="43">
        <f>'Data Entry'!G9</f>
        <v>0</v>
      </c>
      <c r="H5" s="43">
        <f>'Data Entry'!H9</f>
        <v>5</v>
      </c>
      <c r="I5" s="43">
        <f>'Data Entry'!I9</f>
        <v>593</v>
      </c>
      <c r="J5" s="43">
        <f>'Data Entry'!J9</f>
        <v>3493</v>
      </c>
    </row>
    <row r="6" spans="1:10" ht="15.75" customHeight="1" thickBot="1">
      <c r="A6" s="7" t="s">
        <v>112</v>
      </c>
      <c r="B6" s="43">
        <f>'Data Entry'!B10</f>
        <v>7619</v>
      </c>
      <c r="C6" s="43">
        <f>'Data Entry'!C10</f>
        <v>2398</v>
      </c>
      <c r="D6" s="43">
        <f>'Data Entry'!D10</f>
        <v>4316</v>
      </c>
      <c r="E6" s="43">
        <f>'Data Entry'!E10</f>
        <v>653</v>
      </c>
      <c r="F6" s="43">
        <f>'Data Entry'!F10</f>
        <v>45</v>
      </c>
      <c r="G6" s="43">
        <f>'Data Entry'!G10</f>
        <v>0</v>
      </c>
      <c r="H6" s="43">
        <f>'Data Entry'!H10</f>
        <v>2</v>
      </c>
      <c r="I6" s="43">
        <f>'Data Entry'!I10</f>
        <v>205</v>
      </c>
      <c r="J6" s="43">
        <f>'Data Entry'!J10</f>
        <v>5221</v>
      </c>
    </row>
    <row r="7" spans="1:10" ht="15.75" customHeight="1" thickBot="1">
      <c r="A7" s="7" t="s">
        <v>160</v>
      </c>
      <c r="B7" s="43">
        <f>'Data Entry'!B11</f>
        <v>29522</v>
      </c>
      <c r="C7" s="43">
        <f>'Data Entry'!C11</f>
        <v>12374</v>
      </c>
      <c r="D7" s="43">
        <f>'Data Entry'!D11</f>
        <v>13170</v>
      </c>
      <c r="E7" s="43">
        <f>'Data Entry'!E11</f>
        <v>2462</v>
      </c>
      <c r="F7" s="43">
        <f>'Data Entry'!F11</f>
        <v>263</v>
      </c>
      <c r="G7" s="43">
        <f>'Data Entry'!G11</f>
        <v>0</v>
      </c>
      <c r="H7" s="43">
        <f>'Data Entry'!H11</f>
        <v>20</v>
      </c>
      <c r="I7" s="43">
        <f>'Data Entry'!I11</f>
        <v>1233</v>
      </c>
      <c r="J7" s="43">
        <f>'Data Entry'!J11</f>
        <v>17148</v>
      </c>
    </row>
    <row r="8" spans="1:10" ht="15.75" customHeight="1" thickBot="1">
      <c r="A8" s="7" t="s">
        <v>66</v>
      </c>
      <c r="B8" s="43">
        <f>'Data Entry'!B12</f>
        <v>9224</v>
      </c>
      <c r="C8" s="43">
        <f>'Data Entry'!C12</f>
        <v>3316</v>
      </c>
      <c r="D8" s="43">
        <f>'Data Entry'!D12</f>
        <v>4638</v>
      </c>
      <c r="E8" s="43">
        <f>'Data Entry'!E12</f>
        <v>903</v>
      </c>
      <c r="F8" s="43">
        <f>'Data Entry'!F12</f>
        <v>73</v>
      </c>
      <c r="G8" s="43">
        <f>'Data Entry'!G12</f>
        <v>0</v>
      </c>
      <c r="H8" s="43">
        <f>'Data Entry'!H12</f>
        <v>4</v>
      </c>
      <c r="I8" s="43">
        <f>'Data Entry'!I12</f>
        <v>290</v>
      </c>
      <c r="J8" s="43">
        <f>'Data Entry'!J12</f>
        <v>5908</v>
      </c>
    </row>
    <row r="9" spans="1:10" ht="15.75" customHeight="1" thickBot="1">
      <c r="A9" s="7" t="s">
        <v>159</v>
      </c>
      <c r="B9" s="43">
        <f>'Data Entry'!B13</f>
        <v>4879</v>
      </c>
      <c r="C9" s="43">
        <f>'Data Entry'!C13</f>
        <v>2032</v>
      </c>
      <c r="D9" s="43">
        <f>'Data Entry'!D13</f>
        <v>2134</v>
      </c>
      <c r="E9" s="43">
        <f>'Data Entry'!E13</f>
        <v>475</v>
      </c>
      <c r="F9" s="43">
        <f>'Data Entry'!F13</f>
        <v>58</v>
      </c>
      <c r="G9" s="43">
        <f>'Data Entry'!G13</f>
        <v>0</v>
      </c>
      <c r="H9" s="43">
        <f>'Data Entry'!H13</f>
        <v>5</v>
      </c>
      <c r="I9" s="43">
        <f>'Data Entry'!I13</f>
        <v>175</v>
      </c>
      <c r="J9" s="43">
        <f>'Data Entry'!J13</f>
        <v>2847</v>
      </c>
    </row>
    <row r="10" spans="1:10" ht="15.75" customHeight="1" thickBot="1">
      <c r="A10" s="7" t="s">
        <v>76</v>
      </c>
      <c r="B10" s="43">
        <f>'Data Entry'!B14</f>
        <v>492</v>
      </c>
      <c r="C10" s="43">
        <f>'Data Entry'!C14</f>
        <v>121</v>
      </c>
      <c r="D10" s="43">
        <f>'Data Entry'!D14</f>
        <v>335</v>
      </c>
      <c r="E10" s="43">
        <f>'Data Entry'!E14</f>
        <v>25</v>
      </c>
      <c r="F10" s="43">
        <f>'Data Entry'!F14</f>
        <v>1</v>
      </c>
      <c r="G10" s="43">
        <f>'Data Entry'!G14</f>
        <v>0</v>
      </c>
      <c r="H10" s="43">
        <f>'Data Entry'!H14</f>
        <v>0</v>
      </c>
      <c r="I10" s="43">
        <f>'Data Entry'!I14</f>
        <v>10</v>
      </c>
      <c r="J10" s="43">
        <f>'Data Entry'!J14</f>
        <v>371</v>
      </c>
    </row>
    <row r="11" spans="1:10" ht="15.75" customHeight="1" thickBot="1">
      <c r="A11" s="10" t="s">
        <v>140</v>
      </c>
      <c r="B11" s="43">
        <f>'Data Entry'!B15</f>
        <v>0</v>
      </c>
      <c r="C11" s="43">
        <f>'Data Entry'!C15</f>
        <v>0</v>
      </c>
      <c r="D11" s="43">
        <f>'Data Entry'!D15</f>
        <v>0</v>
      </c>
      <c r="E11" s="43">
        <f>'Data Entry'!E15</f>
        <v>0</v>
      </c>
      <c r="F11" s="43">
        <f>'Data Entry'!F15</f>
        <v>0</v>
      </c>
      <c r="G11" s="43">
        <f>'Data Entry'!G15</f>
        <v>0</v>
      </c>
      <c r="H11" s="43">
        <f>'Data Entry'!H15</f>
        <v>0</v>
      </c>
      <c r="I11" s="43">
        <f>'Data Entry'!I15</f>
        <v>0</v>
      </c>
      <c r="J11" s="43">
        <f>'Data Entry'!J15</f>
        <v>0</v>
      </c>
    </row>
    <row r="14" spans="1:10" ht="15.75">
      <c r="A14" s="4" t="s">
        <v>86</v>
      </c>
      <c r="B14" s="77"/>
      <c r="C14" s="77"/>
      <c r="D14" s="77"/>
      <c r="E14" s="77"/>
      <c r="F14" s="77"/>
      <c r="G14" s="77"/>
      <c r="H14" s="77"/>
      <c r="I14" s="77"/>
      <c r="J14" s="77"/>
    </row>
    <row r="15" spans="1:10" ht="45.75" thickBot="1">
      <c r="A15" s="165" t="s">
        <v>108</v>
      </c>
      <c r="C15" s="106" t="s">
        <v>174</v>
      </c>
      <c r="D15" s="106" t="s">
        <v>30</v>
      </c>
      <c r="E15" s="106" t="s">
        <v>104</v>
      </c>
      <c r="F15" s="106" t="s">
        <v>235</v>
      </c>
      <c r="G15" s="106" t="s">
        <v>172</v>
      </c>
      <c r="H15" s="106" t="s">
        <v>109</v>
      </c>
      <c r="I15" s="106" t="s">
        <v>36</v>
      </c>
      <c r="J15" s="106" t="s">
        <v>11</v>
      </c>
    </row>
    <row r="16" spans="1:10" ht="15">
      <c r="A16" s="121" t="s">
        <v>165</v>
      </c>
      <c r="B16" s="144"/>
      <c r="C16" s="14">
        <f>Summary!C39</f>
        <v>0</v>
      </c>
      <c r="D16" s="14">
        <f>Summary!D39</f>
        <v>0</v>
      </c>
      <c r="E16" s="14">
        <f>Summary!E39</f>
        <v>0</v>
      </c>
      <c r="F16" s="14">
        <f>Summary!F39</f>
        <v>0</v>
      </c>
      <c r="G16" s="14">
        <f>Summary!G39</f>
        <v>0</v>
      </c>
      <c r="H16" s="14">
        <f>Summary!H39</f>
        <v>0</v>
      </c>
      <c r="I16" s="14">
        <f>Summary!I39</f>
        <v>0</v>
      </c>
      <c r="J16" s="46">
        <f>Summary!J39</f>
        <v>0</v>
      </c>
    </row>
    <row r="17" spans="1:10" ht="15">
      <c r="A17" s="79" t="s">
        <v>60</v>
      </c>
      <c r="B17" s="13"/>
      <c r="C17" s="58">
        <f>Summary!C40</f>
        <v>0</v>
      </c>
      <c r="D17" s="58">
        <f>Summary!D40</f>
        <v>-11785</v>
      </c>
      <c r="E17" s="58">
        <f>Summary!E40</f>
        <v>-145</v>
      </c>
      <c r="F17" s="58">
        <f>Summary!F40</f>
        <v>1317</v>
      </c>
      <c r="G17" s="58">
        <f>Summary!G40</f>
        <v>0</v>
      </c>
      <c r="H17" s="58">
        <f>Summary!H40</f>
        <v>50</v>
      </c>
      <c r="I17" s="58">
        <f>Summary!I40</f>
        <v>-1057</v>
      </c>
      <c r="J17" s="132">
        <f>Summary!J40</f>
        <v>-11620</v>
      </c>
    </row>
    <row r="18" spans="1:10" ht="15">
      <c r="A18" s="79" t="s">
        <v>67</v>
      </c>
      <c r="B18" s="13"/>
      <c r="C18" s="58">
        <f>Summary!C41</f>
        <v>0</v>
      </c>
      <c r="D18" s="58">
        <f>Summary!D41</f>
        <v>656</v>
      </c>
      <c r="E18" s="58">
        <f>Summary!E41</f>
        <v>95</v>
      </c>
      <c r="F18" s="58">
        <f>Summary!F41</f>
        <v>-39</v>
      </c>
      <c r="G18" s="58">
        <f>Summary!G41</f>
        <v>0</v>
      </c>
      <c r="H18" s="58">
        <f>Summary!H41</f>
        <v>0</v>
      </c>
      <c r="I18" s="58">
        <f>Summary!I41</f>
        <v>-196</v>
      </c>
      <c r="J18" s="132">
        <f>Summary!J41</f>
        <v>515</v>
      </c>
    </row>
    <row r="19" spans="1:10" ht="15">
      <c r="A19" s="79" t="s">
        <v>112</v>
      </c>
      <c r="B19" s="13"/>
      <c r="C19" s="58">
        <f>Summary!C42</f>
        <v>0</v>
      </c>
      <c r="D19" s="58">
        <f>Summary!D42</f>
        <v>-1932</v>
      </c>
      <c r="E19" s="58">
        <f>Summary!E42</f>
        <v>-212</v>
      </c>
      <c r="F19" s="58">
        <f>Summary!F42</f>
        <v>15</v>
      </c>
      <c r="G19" s="58">
        <f>Summary!G42</f>
        <v>0</v>
      </c>
      <c r="H19" s="58">
        <f>Summary!H42</f>
        <v>2</v>
      </c>
      <c r="I19" s="58">
        <f>Summary!I42</f>
        <v>112</v>
      </c>
      <c r="J19" s="132">
        <f>Summary!J42</f>
        <v>-2015</v>
      </c>
    </row>
    <row r="20" spans="1:10" ht="15">
      <c r="A20" s="79" t="s">
        <v>147</v>
      </c>
      <c r="B20" s="13"/>
      <c r="C20" s="58">
        <f>Summary!C43</f>
        <v>0</v>
      </c>
      <c r="D20" s="58">
        <f>Summary!D43</f>
        <v>-871</v>
      </c>
      <c r="E20" s="58">
        <f>Summary!E43</f>
        <v>-185</v>
      </c>
      <c r="F20" s="58">
        <f>Summary!F43</f>
        <v>46</v>
      </c>
      <c r="G20" s="58">
        <f>Summary!G43</f>
        <v>0</v>
      </c>
      <c r="H20" s="58">
        <f>Summary!H43</f>
        <v>1</v>
      </c>
      <c r="I20" s="58">
        <f>Summary!I43</f>
        <v>404</v>
      </c>
      <c r="J20" s="132">
        <f>Summary!J43</f>
        <v>-605</v>
      </c>
    </row>
    <row r="21" spans="1:10" ht="25.5">
      <c r="A21" s="79" t="s">
        <v>66</v>
      </c>
      <c r="B21" s="13"/>
      <c r="C21" s="58">
        <f>Summary!C44</f>
        <v>0</v>
      </c>
      <c r="D21" s="58">
        <f>Summary!D44</f>
        <v>-1109</v>
      </c>
      <c r="E21" s="58">
        <f>Summary!E44</f>
        <v>-243</v>
      </c>
      <c r="F21" s="58">
        <f>Summary!F44</f>
        <v>-2</v>
      </c>
      <c r="G21" s="58">
        <f>Summary!G44</f>
        <v>0</v>
      </c>
      <c r="H21" s="58">
        <f>Summary!H44</f>
        <v>1</v>
      </c>
      <c r="I21" s="58">
        <f>Summary!I44</f>
        <v>40</v>
      </c>
      <c r="J21" s="132">
        <f>Summary!J44</f>
        <v>-1313</v>
      </c>
    </row>
    <row r="22" spans="1:10" ht="15">
      <c r="A22" s="79" t="s">
        <v>159</v>
      </c>
      <c r="B22" s="13"/>
      <c r="C22" s="58">
        <f>Summary!C45</f>
        <v>0</v>
      </c>
      <c r="D22" s="58">
        <f>Summary!D45</f>
        <v>708</v>
      </c>
      <c r="E22" s="58">
        <f>Summary!E45</f>
        <v>78</v>
      </c>
      <c r="F22" s="58">
        <f>Summary!F45</f>
        <v>-13</v>
      </c>
      <c r="G22" s="58">
        <f>Summary!G45</f>
        <v>0</v>
      </c>
      <c r="H22" s="58">
        <f>Summary!H45</f>
        <v>-2</v>
      </c>
      <c r="I22" s="58">
        <f>Summary!I45</f>
        <v>3</v>
      </c>
      <c r="J22" s="132">
        <f>Summary!J45</f>
        <v>773</v>
      </c>
    </row>
    <row r="23" spans="1:10" ht="15">
      <c r="A23" s="79" t="s">
        <v>229</v>
      </c>
      <c r="B23" s="136"/>
      <c r="C23" s="58">
        <f>Summary!C46</f>
        <v>0</v>
      </c>
      <c r="D23" s="58">
        <f>Summary!D46</f>
        <v>-166</v>
      </c>
      <c r="E23" s="58">
        <f>Summary!E46</f>
        <v>8</v>
      </c>
      <c r="F23" s="58">
        <f>Summary!F46</f>
        <v>2</v>
      </c>
      <c r="G23" s="58">
        <f>Summary!G46</f>
        <v>0</v>
      </c>
      <c r="H23" s="58">
        <f>Summary!H46</f>
        <v>0</v>
      </c>
      <c r="I23" s="58">
        <f>Summary!I46</f>
        <v>1</v>
      </c>
      <c r="J23" s="132">
        <f>Summary!J46</f>
        <v>-155</v>
      </c>
    </row>
    <row r="24" spans="1:10" ht="15.75" thickBot="1">
      <c r="A24" s="167" t="s">
        <v>140</v>
      </c>
      <c r="B24" s="100"/>
      <c r="C24" s="141">
        <f>Summary!C47</f>
        <v>0</v>
      </c>
      <c r="D24" s="141">
        <f>Summary!D47</f>
        <v>0</v>
      </c>
      <c r="E24" s="141">
        <f>Summary!E47</f>
        <v>0</v>
      </c>
      <c r="F24" s="141">
        <f>Summary!F47</f>
        <v>0</v>
      </c>
      <c r="G24" s="141">
        <f>Summary!G47</f>
        <v>0</v>
      </c>
      <c r="H24" s="141">
        <f>Summary!H47</f>
        <v>0</v>
      </c>
      <c r="I24" s="141">
        <f>Summary!I47</f>
        <v>0</v>
      </c>
      <c r="J24" s="150">
        <f>Summary!J47</f>
        <v>0</v>
      </c>
    </row>
    <row r="25" spans="1:10" ht="15">
      <c r="A25" s="142"/>
      <c r="B25" s="142"/>
      <c r="C25" s="142"/>
      <c r="D25" s="142"/>
      <c r="E25" s="142"/>
      <c r="F25" s="142"/>
      <c r="G25" s="142"/>
      <c r="H25" s="142"/>
      <c r="I25" s="142"/>
      <c r="J25" s="142"/>
    </row>
  </sheetData>
  <mergeCells count="1">
    <mergeCell ref="A14:J14"/>
  </mergeCells>
  <conditionalFormatting sqref="C16:C24 G16:G24">
    <cfRule type="expression" priority="1" dxfId="0" stopIfTrue="1">
      <formula>L16=1</formula>
    </cfRule>
  </conditionalFormatting>
  <conditionalFormatting sqref="D16:F24 H16:J24">
    <cfRule type="expression" priority="2" dxfId="0" stopIfTrue="1">
      <formula>$N16=1</formula>
    </cfRule>
  </conditionalFormatting>
  <printOptions/>
  <pageMargins left="0.7" right="0.7" top="0.75" bottom="0.75" header="0.3" footer="0.3"/>
  <pageSetup orientation="landscape"/>
</worksheet>
</file>

<file path=xl/worksheets/sheet12.xml><?xml version="1.0" encoding="utf-8"?>
<worksheet xmlns="http://schemas.openxmlformats.org/spreadsheetml/2006/main" xmlns:r="http://schemas.openxmlformats.org/officeDocument/2006/relationships">
  <dimension ref="A1:BM181"/>
  <sheetViews>
    <sheetView showGridLines="0" zoomScale="150" zoomScaleNormal="150" workbookViewId="0" topLeftCell="A25">
      <selection activeCell="A3" sqref="A3"/>
    </sheetView>
  </sheetViews>
  <sheetFormatPr defaultColWidth="9.140625" defaultRowHeight="15"/>
  <cols>
    <col min="1" max="1" width="5.28125" style="143" customWidth="1"/>
    <col min="2" max="16384" width="9.140625" style="143" customWidth="1"/>
  </cols>
  <sheetData>
    <row r="1" ht="15.75">
      <c r="A1" s="35" t="s">
        <v>120</v>
      </c>
    </row>
    <row r="2" ht="15.75">
      <c r="A2" s="35" t="str">
        <f>IF(Defaults!B27=2,"  ","Use ONLY when reference Group for RRI is White")</f>
        <v>  </v>
      </c>
    </row>
    <row r="29" spans="1:10" ht="15">
      <c r="A29" s="45"/>
      <c r="B29" s="45"/>
      <c r="C29" s="45"/>
      <c r="D29" s="45"/>
      <c r="G29" s="45"/>
      <c r="H29" s="45"/>
      <c r="I29" s="45"/>
      <c r="J29" s="45"/>
    </row>
    <row r="30" spans="1:2" ht="15">
      <c r="A30" s="45"/>
      <c r="B30" s="45"/>
    </row>
    <row r="31" spans="3:9" ht="15">
      <c r="C31" s="168"/>
      <c r="D31" s="168"/>
      <c r="H31" s="168"/>
      <c r="I31" s="168"/>
    </row>
    <row r="32" spans="3:9" ht="15">
      <c r="C32" s="168"/>
      <c r="D32" s="168"/>
      <c r="H32" s="168"/>
      <c r="I32" s="168"/>
    </row>
    <row r="33" spans="3:9" ht="15">
      <c r="C33" s="168"/>
      <c r="D33" s="168"/>
      <c r="H33" s="168"/>
      <c r="I33" s="168"/>
    </row>
    <row r="34" spans="3:9" ht="15">
      <c r="C34" s="168"/>
      <c r="D34" s="168"/>
      <c r="H34" s="168"/>
      <c r="I34" s="168"/>
    </row>
    <row r="35" spans="3:9" ht="15">
      <c r="C35" s="168"/>
      <c r="D35" s="168"/>
      <c r="H35" s="168"/>
      <c r="I35" s="168"/>
    </row>
    <row r="36" spans="3:9" ht="15">
      <c r="C36" s="168"/>
      <c r="D36" s="168"/>
      <c r="H36" s="168"/>
      <c r="I36" s="168"/>
    </row>
    <row r="37" spans="3:9" ht="15">
      <c r="C37" s="168"/>
      <c r="D37" s="168"/>
      <c r="H37" s="65"/>
      <c r="I37" s="65"/>
    </row>
    <row r="38" spans="3:4" ht="15">
      <c r="C38" s="168"/>
      <c r="D38" s="168"/>
    </row>
    <row r="39" spans="3:4" ht="15">
      <c r="C39" s="168"/>
      <c r="D39" s="168"/>
    </row>
    <row r="40" spans="3:4" ht="15">
      <c r="C40" s="65"/>
      <c r="D40" s="65"/>
    </row>
    <row r="163" ht="15">
      <c r="A163" s="111" t="str">
        <f>Summary!C1</f>
        <v>County : Statewide</v>
      </c>
    </row>
    <row r="164" spans="3:65" ht="15">
      <c r="C164" s="143" t="s">
        <v>58</v>
      </c>
      <c r="D164" s="143" t="s">
        <v>233</v>
      </c>
      <c r="E164" s="143" t="s">
        <v>5</v>
      </c>
      <c r="F164" s="143" t="s">
        <v>80</v>
      </c>
      <c r="G164" s="143" t="s">
        <v>72</v>
      </c>
      <c r="H164" s="143" t="s">
        <v>17</v>
      </c>
      <c r="I164" s="143" t="s">
        <v>45</v>
      </c>
      <c r="J164" s="143" t="s">
        <v>88</v>
      </c>
      <c r="K164" s="143" t="s">
        <v>51</v>
      </c>
      <c r="L164" s="143" t="s">
        <v>162</v>
      </c>
      <c r="M164" s="143" t="s">
        <v>93</v>
      </c>
      <c r="N164" s="143" t="s">
        <v>114</v>
      </c>
      <c r="O164" s="143" t="s">
        <v>196</v>
      </c>
      <c r="P164" s="143" t="s">
        <v>185</v>
      </c>
      <c r="Q164" s="143" t="s">
        <v>205</v>
      </c>
      <c r="R164" s="143" t="s">
        <v>62</v>
      </c>
      <c r="S164" s="143" t="s">
        <v>106</v>
      </c>
      <c r="T164" s="143" t="s">
        <v>53</v>
      </c>
      <c r="U164" s="143" t="s">
        <v>7</v>
      </c>
      <c r="V164" s="143" t="s">
        <v>194</v>
      </c>
      <c r="W164" s="143" t="s">
        <v>208</v>
      </c>
      <c r="X164" s="143" t="s">
        <v>37</v>
      </c>
      <c r="Y164" s="143" t="s">
        <v>31</v>
      </c>
      <c r="Z164" s="143" t="s">
        <v>54</v>
      </c>
      <c r="AA164" s="143" t="s">
        <v>100</v>
      </c>
      <c r="AB164" s="143" t="s">
        <v>153</v>
      </c>
      <c r="AC164" s="143" t="s">
        <v>222</v>
      </c>
      <c r="AD164" s="143" t="s">
        <v>183</v>
      </c>
      <c r="AE164" s="143" t="s">
        <v>119</v>
      </c>
      <c r="AF164" s="143" t="s">
        <v>130</v>
      </c>
      <c r="AG164" s="143" t="s">
        <v>211</v>
      </c>
      <c r="AH164" s="143" t="s">
        <v>204</v>
      </c>
      <c r="AI164" s="143" t="s">
        <v>141</v>
      </c>
      <c r="AJ164" s="143" t="s">
        <v>12</v>
      </c>
      <c r="AK164" s="143" t="s">
        <v>134</v>
      </c>
      <c r="AL164" s="143" t="s">
        <v>179</v>
      </c>
      <c r="AM164" s="143" t="s">
        <v>146</v>
      </c>
      <c r="AN164" s="143" t="s">
        <v>87</v>
      </c>
      <c r="AO164" s="143" t="s">
        <v>101</v>
      </c>
      <c r="AP164" s="143" t="s">
        <v>190</v>
      </c>
      <c r="AQ164" s="143" t="s">
        <v>176</v>
      </c>
      <c r="AR164" s="143" t="s">
        <v>121</v>
      </c>
      <c r="AS164" s="143" t="s">
        <v>221</v>
      </c>
      <c r="AT164" s="143" t="s">
        <v>25</v>
      </c>
      <c r="AU164" s="143" t="s">
        <v>110</v>
      </c>
      <c r="AV164" s="143" t="s">
        <v>232</v>
      </c>
      <c r="AW164" s="143" t="s">
        <v>171</v>
      </c>
      <c r="AX164" s="143" t="s">
        <v>193</v>
      </c>
      <c r="AY164" s="143" t="s">
        <v>19</v>
      </c>
      <c r="AZ164" s="143" t="s">
        <v>8</v>
      </c>
      <c r="BA164" s="143" t="s">
        <v>33</v>
      </c>
      <c r="BB164" s="143" t="s">
        <v>38</v>
      </c>
      <c r="BC164" s="143" t="s">
        <v>85</v>
      </c>
      <c r="BD164" s="143" t="s">
        <v>142</v>
      </c>
      <c r="BE164" s="143" t="s">
        <v>220</v>
      </c>
      <c r="BF164" s="143" t="s">
        <v>156</v>
      </c>
      <c r="BG164" s="143" t="s">
        <v>175</v>
      </c>
      <c r="BH164" s="143" t="s">
        <v>6</v>
      </c>
      <c r="BI164" s="143" t="s">
        <v>0</v>
      </c>
      <c r="BJ164" s="143" t="s">
        <v>192</v>
      </c>
      <c r="BK164" s="143" t="s">
        <v>13</v>
      </c>
      <c r="BL164" s="143" t="s">
        <v>135</v>
      </c>
      <c r="BM164" s="143" t="s">
        <v>35</v>
      </c>
    </row>
    <row r="165" spans="1:65" ht="15">
      <c r="A165" s="143" t="s">
        <v>188</v>
      </c>
      <c r="B165" s="143" t="s">
        <v>92</v>
      </c>
      <c r="C165" s="143">
        <v>742</v>
      </c>
      <c r="D165" s="143">
        <v>586</v>
      </c>
      <c r="E165" s="143">
        <v>559</v>
      </c>
      <c r="F165" s="143">
        <v>604</v>
      </c>
      <c r="G165" s="143">
        <v>639</v>
      </c>
      <c r="H165" s="143">
        <v>613</v>
      </c>
      <c r="I165" s="143">
        <v>609</v>
      </c>
      <c r="J165" s="143">
        <v>380</v>
      </c>
      <c r="K165" s="143">
        <v>154</v>
      </c>
      <c r="L165" s="143">
        <v>673</v>
      </c>
      <c r="M165" s="143">
        <v>510</v>
      </c>
      <c r="N165" s="143">
        <v>491</v>
      </c>
      <c r="O165" s="143">
        <v>523</v>
      </c>
      <c r="P165" s="143">
        <v>573</v>
      </c>
      <c r="Q165" s="143">
        <v>533</v>
      </c>
      <c r="R165" s="143">
        <v>519</v>
      </c>
      <c r="S165" s="143">
        <v>264</v>
      </c>
      <c r="T165" s="143">
        <v>106</v>
      </c>
      <c r="U165" s="143">
        <v>264</v>
      </c>
      <c r="V165" s="143">
        <v>187</v>
      </c>
      <c r="W165" s="143">
        <v>193</v>
      </c>
      <c r="X165" s="143">
        <v>164</v>
      </c>
      <c r="Y165" s="143">
        <v>199</v>
      </c>
      <c r="Z165" s="143">
        <v>191</v>
      </c>
      <c r="AA165" s="143">
        <v>171</v>
      </c>
      <c r="AB165" s="143">
        <v>52</v>
      </c>
      <c r="AC165" s="143">
        <v>14</v>
      </c>
      <c r="AD165" s="143">
        <v>19</v>
      </c>
      <c r="AE165" s="143">
        <v>24</v>
      </c>
      <c r="AF165" s="143">
        <v>25</v>
      </c>
      <c r="AG165" s="143">
        <v>19</v>
      </c>
      <c r="AH165" s="143">
        <v>30</v>
      </c>
      <c r="AI165" s="143">
        <v>26</v>
      </c>
      <c r="AJ165" s="143">
        <v>22</v>
      </c>
      <c r="AK165" s="143">
        <v>11</v>
      </c>
      <c r="AL165" s="143">
        <v>3</v>
      </c>
      <c r="AM165" s="143">
        <v>259</v>
      </c>
      <c r="AN165" s="143">
        <v>183</v>
      </c>
      <c r="AO165" s="143">
        <v>153</v>
      </c>
      <c r="AP165" s="143">
        <v>156</v>
      </c>
      <c r="AQ165" s="143">
        <v>223</v>
      </c>
      <c r="AR165" s="143">
        <v>200</v>
      </c>
      <c r="AS165" s="143">
        <v>156</v>
      </c>
      <c r="AT165" s="143">
        <v>75</v>
      </c>
      <c r="AU165" s="143">
        <v>21</v>
      </c>
      <c r="AV165" s="143">
        <v>161</v>
      </c>
      <c r="AW165" s="143">
        <v>183</v>
      </c>
      <c r="AX165" s="143">
        <v>238</v>
      </c>
      <c r="AY165" s="143">
        <v>212</v>
      </c>
      <c r="AZ165" s="143">
        <v>230</v>
      </c>
      <c r="BA165" s="143">
        <v>220</v>
      </c>
      <c r="BB165" s="143">
        <v>222</v>
      </c>
      <c r="BC165" s="143">
        <v>98</v>
      </c>
      <c r="BD165" s="143">
        <v>47</v>
      </c>
      <c r="BE165" s="143">
        <v>841</v>
      </c>
      <c r="BF165" s="143">
        <v>671</v>
      </c>
      <c r="BG165" s="143">
        <v>634</v>
      </c>
      <c r="BH165" s="143">
        <v>701</v>
      </c>
      <c r="BI165" s="143">
        <v>732</v>
      </c>
      <c r="BJ165" s="143">
        <v>716</v>
      </c>
      <c r="BK165" s="143">
        <v>718</v>
      </c>
      <c r="BL165" s="143">
        <v>456</v>
      </c>
      <c r="BM165" s="143">
        <v>189</v>
      </c>
    </row>
    <row r="166" spans="1:65" ht="15">
      <c r="A166" s="143" t="s">
        <v>177</v>
      </c>
      <c r="B166" s="143" t="s">
        <v>49</v>
      </c>
      <c r="C166" s="143">
        <v>254</v>
      </c>
      <c r="D166" s="143">
        <v>410</v>
      </c>
      <c r="E166" s="143">
        <v>437</v>
      </c>
      <c r="F166" s="143">
        <v>392</v>
      </c>
      <c r="G166" s="143">
        <v>357</v>
      </c>
      <c r="H166" s="143">
        <v>383</v>
      </c>
      <c r="I166" s="143">
        <v>387</v>
      </c>
      <c r="J166" s="143">
        <v>616</v>
      </c>
      <c r="K166" s="143">
        <v>842</v>
      </c>
      <c r="L166" s="143">
        <v>323</v>
      </c>
      <c r="M166" s="143">
        <v>486</v>
      </c>
      <c r="N166" s="143">
        <v>505</v>
      </c>
      <c r="O166" s="143">
        <v>473</v>
      </c>
      <c r="P166" s="143">
        <v>423</v>
      </c>
      <c r="Q166" s="143">
        <v>463</v>
      </c>
      <c r="R166" s="143">
        <v>477</v>
      </c>
      <c r="S166" s="143">
        <v>732</v>
      </c>
      <c r="T166" s="143">
        <v>890</v>
      </c>
      <c r="U166" s="143">
        <v>732</v>
      </c>
      <c r="V166" s="143">
        <v>809</v>
      </c>
      <c r="W166" s="143">
        <v>803</v>
      </c>
      <c r="X166" s="143">
        <v>832</v>
      </c>
      <c r="Y166" s="143">
        <v>797</v>
      </c>
      <c r="Z166" s="143">
        <v>805</v>
      </c>
      <c r="AA166" s="143">
        <v>825</v>
      </c>
      <c r="AB166" s="143">
        <v>944</v>
      </c>
      <c r="AC166" s="143">
        <v>982</v>
      </c>
      <c r="AD166" s="143">
        <v>977</v>
      </c>
      <c r="AE166" s="143">
        <v>972</v>
      </c>
      <c r="AF166" s="143">
        <v>971</v>
      </c>
      <c r="AG166" s="143">
        <v>977</v>
      </c>
      <c r="AH166" s="143">
        <v>966</v>
      </c>
      <c r="AI166" s="143">
        <v>970</v>
      </c>
      <c r="AJ166" s="143">
        <v>974</v>
      </c>
      <c r="AK166" s="143">
        <v>985</v>
      </c>
      <c r="AL166" s="143">
        <v>993</v>
      </c>
      <c r="AM166" s="143">
        <v>737</v>
      </c>
      <c r="AN166" s="143">
        <v>813</v>
      </c>
      <c r="AO166" s="143">
        <v>843</v>
      </c>
      <c r="AP166" s="143">
        <v>840</v>
      </c>
      <c r="AQ166" s="143">
        <v>773</v>
      </c>
      <c r="AR166" s="143">
        <v>796</v>
      </c>
      <c r="AS166" s="143">
        <v>840</v>
      </c>
      <c r="AT166" s="143">
        <v>921</v>
      </c>
      <c r="AU166" s="143">
        <v>975</v>
      </c>
      <c r="AV166" s="143">
        <v>835</v>
      </c>
      <c r="AW166" s="143">
        <v>813</v>
      </c>
      <c r="AX166" s="143">
        <v>758</v>
      </c>
      <c r="AY166" s="143">
        <v>784</v>
      </c>
      <c r="AZ166" s="143">
        <v>766</v>
      </c>
      <c r="BA166" s="143">
        <v>776</v>
      </c>
      <c r="BB166" s="143">
        <v>774</v>
      </c>
      <c r="BC166" s="143">
        <v>898</v>
      </c>
      <c r="BD166" s="143">
        <v>949</v>
      </c>
      <c r="BE166" s="143">
        <v>155</v>
      </c>
      <c r="BF166" s="143">
        <v>325</v>
      </c>
      <c r="BG166" s="143">
        <v>362</v>
      </c>
      <c r="BH166" s="143">
        <v>295</v>
      </c>
      <c r="BI166" s="143">
        <v>264</v>
      </c>
      <c r="BJ166" s="143">
        <v>280</v>
      </c>
      <c r="BK166" s="143">
        <v>278</v>
      </c>
      <c r="BL166" s="143">
        <v>540</v>
      </c>
      <c r="BM166" s="143">
        <v>807</v>
      </c>
    </row>
    <row r="167" spans="2:65" s="41" customFormat="1" ht="15">
      <c r="B167" s="41">
        <v>75</v>
      </c>
      <c r="C167" s="41">
        <v>3.8698</v>
      </c>
      <c r="D167" s="41">
        <v>1.4617</v>
      </c>
      <c r="E167" s="41">
        <v>1.04</v>
      </c>
      <c r="F167" s="41">
        <v>1.9585</v>
      </c>
      <c r="G167" s="41">
        <v>1.3493</v>
      </c>
      <c r="H167" s="41">
        <v>1.25</v>
      </c>
      <c r="I167" s="41">
        <v>1.0769</v>
      </c>
      <c r="J167" s="41">
        <v>2.5</v>
      </c>
      <c r="K167" s="41">
        <v>4.5584</v>
      </c>
      <c r="L167" s="41">
        <v>2.0297</v>
      </c>
      <c r="M167" s="41">
        <v>1.4264</v>
      </c>
      <c r="N167" s="41">
        <v>1.2245</v>
      </c>
      <c r="O167" s="41">
        <v>1.6774</v>
      </c>
      <c r="P167" s="41">
        <v>1.332</v>
      </c>
      <c r="Q167" s="41">
        <v>1.2832</v>
      </c>
      <c r="R167" s="41">
        <v>1.1212</v>
      </c>
      <c r="S167" s="41">
        <v>2.5893</v>
      </c>
      <c r="T167" s="41">
        <v>2.5738</v>
      </c>
      <c r="U167" s="41">
        <v>0.8121</v>
      </c>
      <c r="V167" s="41">
        <v>2.4832</v>
      </c>
      <c r="W167" s="41">
        <v>1.7434</v>
      </c>
      <c r="X167" s="41">
        <v>1.9662</v>
      </c>
      <c r="Y167" s="41">
        <v>1.4325</v>
      </c>
      <c r="Z167" s="41">
        <v>1.3738</v>
      </c>
      <c r="AA167" s="41">
        <v>1.2883</v>
      </c>
      <c r="AB167" s="41">
        <v>3.4447</v>
      </c>
      <c r="AC167" s="41">
        <v>5.2926</v>
      </c>
      <c r="AD167" s="41">
        <v>2.5622</v>
      </c>
      <c r="AE167" s="41">
        <v>1.5856</v>
      </c>
      <c r="AF167" s="41">
        <v>1.5309</v>
      </c>
      <c r="AG167" s="41">
        <v>4.2609</v>
      </c>
      <c r="AH167" s="41">
        <v>1.3077</v>
      </c>
      <c r="AI167" s="41">
        <v>1.286</v>
      </c>
      <c r="AJ167" s="41">
        <v>1.3274</v>
      </c>
      <c r="AK167" s="41">
        <v>7.875</v>
      </c>
      <c r="AL167" s="41">
        <v>4.44</v>
      </c>
      <c r="AM167" s="41">
        <v>2.5833</v>
      </c>
      <c r="AN167" s="41">
        <v>1.8552</v>
      </c>
      <c r="AO167" s="41">
        <v>1.6451</v>
      </c>
      <c r="AP167" s="41">
        <v>2.5778</v>
      </c>
      <c r="AQ167" s="41">
        <v>1.4936</v>
      </c>
      <c r="AR167" s="41">
        <v>1.4181</v>
      </c>
      <c r="AS167" s="41">
        <v>1.4559</v>
      </c>
      <c r="AT167" s="41">
        <v>4.8</v>
      </c>
      <c r="AU167" s="41">
        <v>4.1648</v>
      </c>
      <c r="AV167" s="41">
        <v>1.5182</v>
      </c>
      <c r="AW167" s="41">
        <v>1.3915</v>
      </c>
      <c r="AX167" s="41">
        <v>1.3022</v>
      </c>
      <c r="AY167" s="41">
        <v>2.2356</v>
      </c>
      <c r="AZ167" s="41">
        <v>1.3025</v>
      </c>
      <c r="BA167" s="41">
        <v>1.5081</v>
      </c>
      <c r="BB167" s="41">
        <v>1.2442</v>
      </c>
      <c r="BC167" s="41">
        <v>3.5846</v>
      </c>
      <c r="BD167" s="41">
        <v>4.6703</v>
      </c>
      <c r="BE167" s="41">
        <v>2.5932</v>
      </c>
      <c r="BF167" s="41">
        <v>1.4644</v>
      </c>
      <c r="BG167" s="41">
        <v>1.044</v>
      </c>
      <c r="BH167" s="41">
        <v>1.7619</v>
      </c>
      <c r="BI167" s="41">
        <v>1.2665</v>
      </c>
      <c r="BJ167" s="41">
        <v>1.2131</v>
      </c>
      <c r="BK167" s="41">
        <v>1.0635</v>
      </c>
      <c r="BL167" s="41">
        <v>2.2997</v>
      </c>
      <c r="BM167" s="41">
        <v>2.8525</v>
      </c>
    </row>
    <row r="168" spans="2:65" s="41" customFormat="1" ht="15">
      <c r="B168" s="41">
        <v>25</v>
      </c>
      <c r="C168" s="41">
        <v>1.7629</v>
      </c>
      <c r="D168" s="41">
        <v>0.8608</v>
      </c>
      <c r="E168" s="41">
        <v>0.6236</v>
      </c>
      <c r="F168" s="41">
        <v>1.0072</v>
      </c>
      <c r="G168" s="41">
        <v>0.9346</v>
      </c>
      <c r="H168" s="41">
        <v>0.8468</v>
      </c>
      <c r="I168" s="41">
        <v>0.8692</v>
      </c>
      <c r="J168" s="41">
        <v>1.0071</v>
      </c>
      <c r="K168" s="41">
        <v>0.9926</v>
      </c>
      <c r="L168" s="41">
        <v>0.7236</v>
      </c>
      <c r="M168" s="41">
        <v>0.8337</v>
      </c>
      <c r="N168" s="41">
        <v>0.7</v>
      </c>
      <c r="O168" s="41">
        <v>0.8856</v>
      </c>
      <c r="P168" s="41">
        <v>0.8946</v>
      </c>
      <c r="Q168" s="41">
        <v>0.8811</v>
      </c>
      <c r="R168" s="41">
        <v>0.914</v>
      </c>
      <c r="S168" s="41">
        <v>0.9307</v>
      </c>
      <c r="T168" s="41">
        <v>0.8834</v>
      </c>
      <c r="U168" s="41">
        <v>0.1773</v>
      </c>
      <c r="V168" s="41">
        <v>0.907</v>
      </c>
      <c r="W168" s="41">
        <v>0.9147</v>
      </c>
      <c r="X168" s="41">
        <v>0.841</v>
      </c>
      <c r="Y168" s="41">
        <v>0.8492</v>
      </c>
      <c r="Z168" s="41">
        <v>0.86</v>
      </c>
      <c r="AA168" s="41">
        <v>0.9693</v>
      </c>
      <c r="AB168" s="41">
        <v>0.9869</v>
      </c>
      <c r="AC168" s="41">
        <v>1.8492</v>
      </c>
      <c r="AD168" s="41">
        <v>0.5173</v>
      </c>
      <c r="AE168" s="41">
        <v>0.9203</v>
      </c>
      <c r="AF168" s="41">
        <v>0.8205</v>
      </c>
      <c r="AG168" s="41">
        <v>0.7345</v>
      </c>
      <c r="AH168" s="41">
        <v>0.9727</v>
      </c>
      <c r="AI168" s="41">
        <v>0.8863</v>
      </c>
      <c r="AJ168" s="41">
        <v>0.9899</v>
      </c>
      <c r="AK168" s="41">
        <v>0.8708</v>
      </c>
      <c r="AL168" s="41">
        <v>0.7083</v>
      </c>
      <c r="AM168" s="41">
        <v>0.54</v>
      </c>
      <c r="AN168" s="41">
        <v>0.8504</v>
      </c>
      <c r="AO168" s="41">
        <v>0.5687</v>
      </c>
      <c r="AP168" s="41">
        <v>1.0166</v>
      </c>
      <c r="AQ168" s="41">
        <v>0.973</v>
      </c>
      <c r="AR168" s="41">
        <v>0.8696</v>
      </c>
      <c r="AS168" s="41">
        <v>0.8776</v>
      </c>
      <c r="AT168" s="41">
        <v>1.1578</v>
      </c>
      <c r="AU168" s="41">
        <v>0.6362</v>
      </c>
      <c r="AV168" s="41">
        <v>0.3237</v>
      </c>
      <c r="AW168" s="41">
        <v>0.9117</v>
      </c>
      <c r="AX168" s="41">
        <v>0.6818</v>
      </c>
      <c r="AY168" s="41">
        <v>0.8996</v>
      </c>
      <c r="AZ168" s="41">
        <v>0.8691</v>
      </c>
      <c r="BA168" s="41">
        <v>0.7573</v>
      </c>
      <c r="BB168" s="41">
        <v>0.7367</v>
      </c>
      <c r="BC168" s="41">
        <v>0.9238</v>
      </c>
      <c r="BD168" s="41">
        <v>1.522</v>
      </c>
      <c r="BE168" s="41">
        <v>1.1568</v>
      </c>
      <c r="BF168" s="41">
        <v>0.8753</v>
      </c>
      <c r="BG168" s="41">
        <v>0.6418</v>
      </c>
      <c r="BH168" s="41">
        <v>0.945</v>
      </c>
      <c r="BI168" s="41">
        <v>0.9111</v>
      </c>
      <c r="BJ168" s="41">
        <v>0.871</v>
      </c>
      <c r="BK168" s="41">
        <v>0.8739</v>
      </c>
      <c r="BL168" s="41">
        <v>0.9455</v>
      </c>
      <c r="BM168" s="41">
        <v>0.8681</v>
      </c>
    </row>
    <row r="169" spans="2:65" s="41" customFormat="1" ht="15">
      <c r="B169" s="41">
        <v>50</v>
      </c>
      <c r="C169" s="41">
        <v>2.7106</v>
      </c>
      <c r="D169" s="41">
        <v>1.0337</v>
      </c>
      <c r="E169" s="41">
        <v>0.8179</v>
      </c>
      <c r="F169" s="41">
        <v>1.3305</v>
      </c>
      <c r="G169" s="41">
        <v>1.0929</v>
      </c>
      <c r="H169" s="41">
        <v>1.0058</v>
      </c>
      <c r="I169" s="41">
        <v>1</v>
      </c>
      <c r="J169" s="41">
        <v>1.4339</v>
      </c>
      <c r="K169" s="41">
        <v>2.1393</v>
      </c>
      <c r="L169" s="41">
        <v>1.2005</v>
      </c>
      <c r="M169" s="41">
        <v>1.0258</v>
      </c>
      <c r="N169" s="41">
        <v>0.9424</v>
      </c>
      <c r="O169" s="41">
        <v>1.155</v>
      </c>
      <c r="P169" s="41">
        <v>1.0445</v>
      </c>
      <c r="Q169" s="41">
        <v>1.0484</v>
      </c>
      <c r="R169" s="41">
        <v>1</v>
      </c>
      <c r="S169" s="41">
        <v>1.3069</v>
      </c>
      <c r="T169" s="41">
        <v>1.6083</v>
      </c>
      <c r="U169" s="41">
        <v>0.3435</v>
      </c>
      <c r="V169" s="41">
        <v>1.2234</v>
      </c>
      <c r="W169" s="41">
        <v>1.2579</v>
      </c>
      <c r="X169" s="41">
        <v>1.2607</v>
      </c>
      <c r="Y169" s="41">
        <v>1.0506</v>
      </c>
      <c r="Z169" s="41">
        <v>1.0833</v>
      </c>
      <c r="AA169" s="41">
        <v>1.0554</v>
      </c>
      <c r="AB169" s="41">
        <v>1.9019</v>
      </c>
      <c r="AC169" s="41">
        <v>3.307</v>
      </c>
      <c r="AD169" s="41">
        <v>1</v>
      </c>
      <c r="AE169" s="41">
        <v>1</v>
      </c>
      <c r="AF169" s="41">
        <v>1.1162</v>
      </c>
      <c r="AG169" s="41">
        <v>1.2821</v>
      </c>
      <c r="AH169" s="41">
        <v>1.0196</v>
      </c>
      <c r="AI169" s="41">
        <v>1</v>
      </c>
      <c r="AJ169" s="41">
        <v>1.1029</v>
      </c>
      <c r="AK169" s="41">
        <v>2.2937</v>
      </c>
      <c r="AL169" s="41">
        <v>1.8191</v>
      </c>
      <c r="AM169" s="41">
        <v>1.2339</v>
      </c>
      <c r="AN169" s="41">
        <v>1.1486</v>
      </c>
      <c r="AO169" s="41">
        <v>0.8744</v>
      </c>
      <c r="AP169" s="41">
        <v>1.5977</v>
      </c>
      <c r="AQ169" s="41">
        <v>1.1493</v>
      </c>
      <c r="AR169" s="41">
        <v>1.0329</v>
      </c>
      <c r="AS169" s="41">
        <v>1.0125</v>
      </c>
      <c r="AT169" s="41">
        <v>1.8533</v>
      </c>
      <c r="AU169" s="41">
        <v>1.5714</v>
      </c>
      <c r="AV169" s="41">
        <v>0.6716</v>
      </c>
      <c r="AW169" s="41">
        <v>1.0042</v>
      </c>
      <c r="AX169" s="41">
        <v>0.9757</v>
      </c>
      <c r="AY169" s="41">
        <v>1.3896</v>
      </c>
      <c r="AZ169" s="41">
        <v>1.0428</v>
      </c>
      <c r="BA169" s="41">
        <v>1.084</v>
      </c>
      <c r="BB169" s="41">
        <v>1.0059</v>
      </c>
      <c r="BC169" s="41">
        <v>1.5164</v>
      </c>
      <c r="BD169" s="41">
        <v>2.451</v>
      </c>
      <c r="BE169" s="41">
        <v>1.7889</v>
      </c>
      <c r="BF169" s="41">
        <v>1.0437</v>
      </c>
      <c r="BG169" s="41">
        <v>0.8346</v>
      </c>
      <c r="BH169" s="41">
        <v>1.2448</v>
      </c>
      <c r="BI169" s="41">
        <v>1.0519</v>
      </c>
      <c r="BJ169" s="41">
        <v>1</v>
      </c>
      <c r="BK169" s="41">
        <v>0.9983</v>
      </c>
      <c r="BL169" s="41">
        <v>1.3842</v>
      </c>
      <c r="BM169" s="41">
        <v>1.6098</v>
      </c>
    </row>
    <row r="170" spans="2:65" s="41" customFormat="1" ht="15">
      <c r="B170" s="41" t="str">
        <f>A163</f>
        <v>County : Statewide</v>
      </c>
      <c r="C170" s="41" t="str">
        <f>Summary!$D18</f>
        <v>**</v>
      </c>
      <c r="D170" s="41">
        <f>Summary!$D19</f>
        <v>2.7383794893088647</v>
      </c>
      <c r="E170" s="41">
        <f>Summary!$D20</f>
        <v>0.7799020362494052</v>
      </c>
      <c r="F170" s="41">
        <f>Summary!$D21</f>
        <v>1.8107888693425664</v>
      </c>
      <c r="G170" s="41">
        <f>Summary!$D22</f>
        <v>1.0708070511714778</v>
      </c>
      <c r="H170" s="41">
        <f>Summary!$D23</f>
        <v>1.3141367457017952</v>
      </c>
      <c r="I170" s="41">
        <f>Summary!$D24</f>
        <v>0.750852254399636</v>
      </c>
      <c r="J170" s="41">
        <f>Summary!$D25</f>
        <v>1.9794439752101751</v>
      </c>
      <c r="K170" s="41" t="str">
        <f>Summary!$D26</f>
        <v>**</v>
      </c>
      <c r="L170" s="41" t="str">
        <f>Summary!$E18</f>
        <v>**</v>
      </c>
      <c r="M170" s="41">
        <f>Summary!$E19</f>
        <v>1.044023347354661</v>
      </c>
      <c r="N170" s="41">
        <f>Summary!$E20</f>
        <v>0.8283467224682618</v>
      </c>
      <c r="O170" s="41">
        <f>Summary!$E21</f>
        <v>1.4797610412905917</v>
      </c>
      <c r="P170" s="41">
        <f>Summary!$E22</f>
        <v>1.081198721694841</v>
      </c>
      <c r="Q170" s="41">
        <f>Summary!$E23</f>
        <v>1.3686591069662977</v>
      </c>
      <c r="R170" s="41">
        <f>Summary!$E24</f>
        <v>0.8584137738596629</v>
      </c>
      <c r="S170" s="41">
        <f>Summary!$E25</f>
        <v>0.75871978620393</v>
      </c>
      <c r="T170" s="41" t="str">
        <f>Summary!$E26</f>
        <v>**</v>
      </c>
      <c r="U170" s="41" t="str">
        <f>Summary!$F18</f>
        <v>**</v>
      </c>
      <c r="V170" s="41">
        <f>Summary!$F19</f>
        <v>0.2618382265509695</v>
      </c>
      <c r="W170" s="41">
        <f>Summary!$F20</f>
        <v>1.5207697351410578</v>
      </c>
      <c r="X170" s="41">
        <f>Summary!$F21</f>
        <v>0.7505049711304745</v>
      </c>
      <c r="Y170" s="41">
        <f>Summary!$F22</f>
        <v>0.8500331737922543</v>
      </c>
      <c r="Z170" s="41">
        <f>Summary!$F23</f>
        <v>1.0357685057355281</v>
      </c>
      <c r="AA170" s="41">
        <f>Summary!$F24</f>
        <v>1.2965699493042822</v>
      </c>
      <c r="AB170" s="41" t="str">
        <f>Summary!$F25</f>
        <v>**</v>
      </c>
      <c r="AC170" s="41" t="str">
        <f>Summary!$F26</f>
        <v>**</v>
      </c>
      <c r="AD170" s="41" t="str">
        <f>Summary!$G18</f>
        <v>*</v>
      </c>
      <c r="AE170" s="41" t="str">
        <f>Summary!$G19</f>
        <v>*</v>
      </c>
      <c r="AF170" s="41" t="str">
        <f>Summary!$G20</f>
        <v>*</v>
      </c>
      <c r="AG170" s="41" t="str">
        <f>Summary!$G21</f>
        <v>*</v>
      </c>
      <c r="AH170" s="41" t="str">
        <f>Summary!$G22</f>
        <v>*</v>
      </c>
      <c r="AI170" s="41" t="str">
        <f>Summary!$G23</f>
        <v>*</v>
      </c>
      <c r="AJ170" s="41" t="str">
        <f>Summary!$G24</f>
        <v>*</v>
      </c>
      <c r="AK170" s="41" t="str">
        <f>Summary!$G25</f>
        <v>*</v>
      </c>
      <c r="AL170" s="41" t="str">
        <f>Summary!$G26</f>
        <v>*</v>
      </c>
      <c r="AM170" s="41" t="str">
        <f>Summary!$H18</f>
        <v>*</v>
      </c>
      <c r="AN170" s="41" t="str">
        <f>Summary!$H19</f>
        <v>*</v>
      </c>
      <c r="AO170" s="41" t="str">
        <f>Summary!$H20</f>
        <v>*</v>
      </c>
      <c r="AP170" s="41" t="str">
        <f>Summary!$H21</f>
        <v>*</v>
      </c>
      <c r="AQ170" s="41" t="str">
        <f>Summary!$H22</f>
        <v>*</v>
      </c>
      <c r="AR170" s="41" t="str">
        <f>Summary!$H23</f>
        <v>*</v>
      </c>
      <c r="AS170" s="41" t="str">
        <f>Summary!$H24</f>
        <v>*</v>
      </c>
      <c r="AT170" s="41" t="str">
        <f>Summary!$H25</f>
        <v>*</v>
      </c>
      <c r="AU170" s="41" t="str">
        <f>Summary!$H26</f>
        <v>*</v>
      </c>
      <c r="AV170" s="41" t="str">
        <f>Summary!$I18</f>
        <v>**</v>
      </c>
      <c r="AW170" s="41">
        <f>Summary!$I19</f>
        <v>1.7477387644051643</v>
      </c>
      <c r="AX170" s="41">
        <f>Summary!$I20</f>
        <v>1.4950559242381742</v>
      </c>
      <c r="AY170" s="41">
        <f>Summary!$I21</f>
        <v>0.6461584910398488</v>
      </c>
      <c r="AZ170" s="41">
        <f>Summary!$I22</f>
        <v>0.7531601587302315</v>
      </c>
      <c r="BA170" s="41">
        <f>Summary!$I23</f>
        <v>0.8776684990661904</v>
      </c>
      <c r="BB170" s="41">
        <f>Summary!$I24</f>
        <v>0.9847610643497149</v>
      </c>
      <c r="BC170" s="41">
        <f>Summary!$I25</f>
        <v>0.944998575092619</v>
      </c>
      <c r="BD170" s="41" t="str">
        <f>Summary!$I26</f>
        <v>**</v>
      </c>
      <c r="BE170" s="41" t="str">
        <f>Summary!$J18</f>
        <v>**</v>
      </c>
      <c r="BF170" s="41">
        <f>Summary!$J19</f>
        <v>1.870450622499963</v>
      </c>
      <c r="BG170" s="41">
        <f>Summary!$J20</f>
        <v>0.8714762050684973</v>
      </c>
      <c r="BH170" s="41">
        <f>Summary!$J21</f>
        <v>1.6285199787701874</v>
      </c>
      <c r="BI170" s="41">
        <f>Summary!$J22</f>
        <v>1.0365540183698054</v>
      </c>
      <c r="BJ170" s="41">
        <f>Summary!$J23</f>
        <v>1.2856495484004578</v>
      </c>
      <c r="BK170" s="41">
        <f>Summary!$J24</f>
        <v>0.7863896678199586</v>
      </c>
      <c r="BL170" s="41">
        <f>Summary!$J25</f>
        <v>1.7209274999020798</v>
      </c>
      <c r="BM170" s="41" t="str">
        <f>Summary!$J26</f>
        <v>**</v>
      </c>
    </row>
    <row r="171" ht="15">
      <c r="A171" s="143" t="s">
        <v>124</v>
      </c>
    </row>
    <row r="175" spans="3:65" ht="15">
      <c r="C175" s="143" t="s">
        <v>58</v>
      </c>
      <c r="D175" s="143" t="s">
        <v>233</v>
      </c>
      <c r="E175" s="143" t="s">
        <v>5</v>
      </c>
      <c r="F175" s="143" t="s">
        <v>80</v>
      </c>
      <c r="G175" s="143" t="s">
        <v>72</v>
      </c>
      <c r="H175" s="143" t="s">
        <v>17</v>
      </c>
      <c r="I175" s="143" t="s">
        <v>45</v>
      </c>
      <c r="J175" s="143" t="s">
        <v>88</v>
      </c>
      <c r="K175" s="143" t="s">
        <v>51</v>
      </c>
      <c r="L175" s="143" t="s">
        <v>162</v>
      </c>
      <c r="M175" s="143" t="s">
        <v>93</v>
      </c>
      <c r="N175" s="143" t="s">
        <v>114</v>
      </c>
      <c r="O175" s="143" t="s">
        <v>196</v>
      </c>
      <c r="P175" s="143" t="s">
        <v>185</v>
      </c>
      <c r="Q175" s="143" t="s">
        <v>205</v>
      </c>
      <c r="R175" s="143" t="s">
        <v>62</v>
      </c>
      <c r="S175" s="143" t="s">
        <v>106</v>
      </c>
      <c r="T175" s="143" t="s">
        <v>53</v>
      </c>
      <c r="U175" s="143" t="s">
        <v>7</v>
      </c>
      <c r="V175" s="143" t="s">
        <v>194</v>
      </c>
      <c r="W175" s="143" t="s">
        <v>208</v>
      </c>
      <c r="X175" s="143" t="s">
        <v>37</v>
      </c>
      <c r="Y175" s="143" t="s">
        <v>31</v>
      </c>
      <c r="Z175" s="143" t="s">
        <v>54</v>
      </c>
      <c r="AA175" s="143" t="s">
        <v>100</v>
      </c>
      <c r="AB175" s="143" t="s">
        <v>153</v>
      </c>
      <c r="AC175" s="143" t="s">
        <v>222</v>
      </c>
      <c r="AD175" s="143" t="s">
        <v>146</v>
      </c>
      <c r="AE175" s="143" t="s">
        <v>87</v>
      </c>
      <c r="AF175" s="143" t="s">
        <v>101</v>
      </c>
      <c r="AG175" s="143" t="s">
        <v>190</v>
      </c>
      <c r="AH175" s="143" t="s">
        <v>176</v>
      </c>
      <c r="AI175" s="143" t="s">
        <v>121</v>
      </c>
      <c r="AJ175" s="143" t="s">
        <v>221</v>
      </c>
      <c r="AK175" s="143" t="s">
        <v>25</v>
      </c>
      <c r="AL175" s="143" t="s">
        <v>110</v>
      </c>
      <c r="AM175" s="143" t="s">
        <v>183</v>
      </c>
      <c r="AN175" s="143" t="s">
        <v>119</v>
      </c>
      <c r="AO175" s="143" t="s">
        <v>130</v>
      </c>
      <c r="AP175" s="143" t="s">
        <v>211</v>
      </c>
      <c r="AQ175" s="143" t="s">
        <v>204</v>
      </c>
      <c r="AR175" s="143" t="s">
        <v>141</v>
      </c>
      <c r="AS175" s="143" t="s">
        <v>12</v>
      </c>
      <c r="AT175" s="143" t="s">
        <v>134</v>
      </c>
      <c r="AU175" s="143" t="s">
        <v>179</v>
      </c>
      <c r="AV175" s="143" t="s">
        <v>232</v>
      </c>
      <c r="AW175" s="143" t="s">
        <v>171</v>
      </c>
      <c r="AX175" s="143" t="s">
        <v>193</v>
      </c>
      <c r="AY175" s="143" t="s">
        <v>19</v>
      </c>
      <c r="AZ175" s="143" t="s">
        <v>8</v>
      </c>
      <c r="BA175" s="143" t="s">
        <v>33</v>
      </c>
      <c r="BB175" s="143" t="s">
        <v>38</v>
      </c>
      <c r="BC175" s="143" t="s">
        <v>85</v>
      </c>
      <c r="BD175" s="143" t="s">
        <v>142</v>
      </c>
      <c r="BE175" s="143" t="s">
        <v>220</v>
      </c>
      <c r="BF175" s="143" t="s">
        <v>156</v>
      </c>
      <c r="BG175" s="143" t="s">
        <v>175</v>
      </c>
      <c r="BH175" s="143" t="s">
        <v>6</v>
      </c>
      <c r="BI175" s="143" t="s">
        <v>0</v>
      </c>
      <c r="BJ175" s="143" t="s">
        <v>192</v>
      </c>
      <c r="BK175" s="143" t="s">
        <v>13</v>
      </c>
      <c r="BL175" s="143" t="s">
        <v>135</v>
      </c>
      <c r="BM175" s="143" t="s">
        <v>35</v>
      </c>
    </row>
    <row r="176" spans="1:65" ht="15">
      <c r="A176" s="143" t="s">
        <v>188</v>
      </c>
      <c r="B176" s="143" t="s">
        <v>92</v>
      </c>
      <c r="C176" s="143">
        <v>38</v>
      </c>
      <c r="D176" s="143">
        <v>25</v>
      </c>
      <c r="E176" s="143">
        <v>31</v>
      </c>
      <c r="F176" s="143">
        <v>31</v>
      </c>
      <c r="G176" s="143">
        <v>30</v>
      </c>
      <c r="H176" s="143">
        <v>33</v>
      </c>
      <c r="I176" s="143">
        <v>36</v>
      </c>
      <c r="J176" s="143">
        <v>36</v>
      </c>
      <c r="K176" s="143">
        <v>25</v>
      </c>
      <c r="L176" s="143">
        <v>29</v>
      </c>
      <c r="M176" s="143">
        <v>20</v>
      </c>
      <c r="N176" s="143">
        <v>27</v>
      </c>
      <c r="O176" s="143">
        <v>27</v>
      </c>
      <c r="P176" s="143">
        <v>27</v>
      </c>
      <c r="Q176" s="143">
        <v>27</v>
      </c>
      <c r="R176" s="143">
        <v>29</v>
      </c>
      <c r="S176" s="143">
        <v>28</v>
      </c>
      <c r="T176" s="143">
        <v>19</v>
      </c>
      <c r="U176" s="143">
        <v>32</v>
      </c>
      <c r="V176" s="143">
        <v>21</v>
      </c>
      <c r="W176" s="143">
        <v>25</v>
      </c>
      <c r="X176" s="143">
        <v>24</v>
      </c>
      <c r="Y176" s="143">
        <v>25</v>
      </c>
      <c r="Z176" s="143">
        <v>28</v>
      </c>
      <c r="AA176" s="143">
        <v>28</v>
      </c>
      <c r="AB176" s="143">
        <v>21</v>
      </c>
      <c r="AC176" s="143">
        <v>10</v>
      </c>
      <c r="AD176" s="143">
        <v>30</v>
      </c>
      <c r="AE176" s="143">
        <v>19</v>
      </c>
      <c r="AF176" s="143">
        <v>24</v>
      </c>
      <c r="AG176" s="143">
        <v>20</v>
      </c>
      <c r="AH176" s="143">
        <v>22</v>
      </c>
      <c r="AI176" s="143">
        <v>24</v>
      </c>
      <c r="AJ176" s="143">
        <v>25</v>
      </c>
      <c r="AK176" s="143">
        <v>20</v>
      </c>
      <c r="AL176" s="143">
        <v>12</v>
      </c>
      <c r="AM176" s="143">
        <v>4</v>
      </c>
      <c r="AN176" s="143">
        <v>7</v>
      </c>
      <c r="AO176" s="143">
        <v>11</v>
      </c>
      <c r="AP176" s="143">
        <v>9</v>
      </c>
      <c r="AQ176" s="143">
        <v>9</v>
      </c>
      <c r="AR176" s="143">
        <v>8</v>
      </c>
      <c r="AS176" s="143">
        <v>8</v>
      </c>
      <c r="AT176" s="143">
        <v>4</v>
      </c>
      <c r="AU176" s="143">
        <v>3</v>
      </c>
      <c r="AV176" s="143">
        <v>15</v>
      </c>
      <c r="AW176" s="143">
        <v>18</v>
      </c>
      <c r="AX176" s="143">
        <v>27</v>
      </c>
      <c r="AY176" s="143">
        <v>25</v>
      </c>
      <c r="AZ176" s="143">
        <v>25</v>
      </c>
      <c r="BA176" s="143">
        <v>27</v>
      </c>
      <c r="BB176" s="143">
        <v>30</v>
      </c>
      <c r="BC176" s="143">
        <v>26</v>
      </c>
      <c r="BD176" s="143">
        <v>15</v>
      </c>
      <c r="BE176" s="143">
        <v>38</v>
      </c>
      <c r="BF176" s="143">
        <v>25</v>
      </c>
      <c r="BG176" s="143">
        <v>31</v>
      </c>
      <c r="BH176" s="143">
        <v>31</v>
      </c>
      <c r="BI176" s="143">
        <v>30</v>
      </c>
      <c r="BJ176" s="143">
        <v>33</v>
      </c>
      <c r="BK176" s="143">
        <v>36</v>
      </c>
      <c r="BL176" s="143">
        <v>37</v>
      </c>
      <c r="BM176" s="143">
        <v>28</v>
      </c>
    </row>
    <row r="177" spans="2:65" ht="15">
      <c r="B177" s="143" t="s">
        <v>49</v>
      </c>
      <c r="C177" s="143">
        <v>9</v>
      </c>
      <c r="D177" s="143">
        <v>22</v>
      </c>
      <c r="E177" s="143">
        <v>16</v>
      </c>
      <c r="F177" s="143">
        <v>16</v>
      </c>
      <c r="G177" s="143">
        <v>17</v>
      </c>
      <c r="H177" s="143">
        <v>14</v>
      </c>
      <c r="I177" s="143">
        <v>11</v>
      </c>
      <c r="J177" s="143">
        <v>11</v>
      </c>
      <c r="K177" s="143">
        <v>22</v>
      </c>
      <c r="L177" s="143">
        <v>18</v>
      </c>
      <c r="M177" s="143">
        <v>27</v>
      </c>
      <c r="N177" s="143">
        <v>20</v>
      </c>
      <c r="O177" s="143">
        <v>20</v>
      </c>
      <c r="P177" s="143">
        <v>20</v>
      </c>
      <c r="Q177" s="143">
        <v>20</v>
      </c>
      <c r="R177" s="143">
        <v>18</v>
      </c>
      <c r="S177" s="143">
        <v>19</v>
      </c>
      <c r="T177" s="143">
        <v>28</v>
      </c>
      <c r="U177" s="143">
        <v>15</v>
      </c>
      <c r="V177" s="143">
        <v>26</v>
      </c>
      <c r="W177" s="143">
        <v>22</v>
      </c>
      <c r="X177" s="143">
        <v>23</v>
      </c>
      <c r="Y177" s="143">
        <v>22</v>
      </c>
      <c r="Z177" s="143">
        <v>19</v>
      </c>
      <c r="AA177" s="143">
        <v>19</v>
      </c>
      <c r="AB177" s="143">
        <v>26</v>
      </c>
      <c r="AC177" s="143">
        <v>37</v>
      </c>
      <c r="AD177" s="143">
        <v>17</v>
      </c>
      <c r="AE177" s="143">
        <v>28</v>
      </c>
      <c r="AF177" s="143">
        <v>23</v>
      </c>
      <c r="AG177" s="143">
        <v>27</v>
      </c>
      <c r="AH177" s="143">
        <v>25</v>
      </c>
      <c r="AI177" s="143">
        <v>23</v>
      </c>
      <c r="AJ177" s="143">
        <v>22</v>
      </c>
      <c r="AK177" s="143">
        <v>27</v>
      </c>
      <c r="AL177" s="143">
        <v>35</v>
      </c>
      <c r="AM177" s="143">
        <v>43</v>
      </c>
      <c r="AN177" s="143">
        <v>40</v>
      </c>
      <c r="AO177" s="143">
        <v>36</v>
      </c>
      <c r="AP177" s="143">
        <v>38</v>
      </c>
      <c r="AQ177" s="143">
        <v>38</v>
      </c>
      <c r="AR177" s="143">
        <v>39</v>
      </c>
      <c r="AS177" s="143">
        <v>39</v>
      </c>
      <c r="AT177" s="143">
        <v>43</v>
      </c>
      <c r="AU177" s="143">
        <v>44</v>
      </c>
      <c r="AV177" s="143">
        <v>32</v>
      </c>
      <c r="AW177" s="143">
        <v>29</v>
      </c>
      <c r="AX177" s="143">
        <v>20</v>
      </c>
      <c r="AY177" s="143">
        <v>22</v>
      </c>
      <c r="AZ177" s="143">
        <v>22</v>
      </c>
      <c r="BA177" s="143">
        <v>20</v>
      </c>
      <c r="BB177" s="143">
        <v>17</v>
      </c>
      <c r="BC177" s="143">
        <v>21</v>
      </c>
      <c r="BD177" s="143">
        <v>32</v>
      </c>
      <c r="BE177" s="143">
        <v>9</v>
      </c>
      <c r="BF177" s="143">
        <v>22</v>
      </c>
      <c r="BG177" s="143">
        <v>16</v>
      </c>
      <c r="BH177" s="143">
        <v>16</v>
      </c>
      <c r="BI177" s="143">
        <v>17</v>
      </c>
      <c r="BJ177" s="143">
        <v>14</v>
      </c>
      <c r="BK177" s="143">
        <v>11</v>
      </c>
      <c r="BL177" s="143">
        <v>10</v>
      </c>
      <c r="BM177" s="143">
        <v>19</v>
      </c>
    </row>
    <row r="178" spans="1:65" ht="15">
      <c r="A178" s="143" t="s">
        <v>177</v>
      </c>
      <c r="B178" s="143">
        <v>25</v>
      </c>
      <c r="C178" s="143">
        <v>2.348</v>
      </c>
      <c r="D178" s="143">
        <v>0.9249</v>
      </c>
      <c r="E178" s="143">
        <v>0.6666</v>
      </c>
      <c r="F178" s="143">
        <v>1.224</v>
      </c>
      <c r="G178" s="143">
        <v>0.9865</v>
      </c>
      <c r="H178" s="143">
        <v>0.9024</v>
      </c>
      <c r="I178" s="143">
        <v>0.8859</v>
      </c>
      <c r="J178" s="143">
        <v>1.0326</v>
      </c>
      <c r="K178" s="143">
        <v>1.2496</v>
      </c>
      <c r="L178" s="143">
        <v>0.7202</v>
      </c>
      <c r="M178" s="143">
        <v>0.9704</v>
      </c>
      <c r="N178" s="143">
        <v>0.8168</v>
      </c>
      <c r="O178" s="143">
        <v>1.0107</v>
      </c>
      <c r="P178" s="143">
        <v>1.0085</v>
      </c>
      <c r="Q178" s="143">
        <v>0.9538</v>
      </c>
      <c r="R178" s="143">
        <v>0.9144</v>
      </c>
      <c r="S178" s="143">
        <v>1.0568</v>
      </c>
      <c r="T178" s="143">
        <v>0.821</v>
      </c>
      <c r="U178" s="143">
        <v>0.2158</v>
      </c>
      <c r="V178" s="143">
        <v>0.8419</v>
      </c>
      <c r="W178" s="143">
        <v>0.9431</v>
      </c>
      <c r="X178" s="143">
        <v>0.7406</v>
      </c>
      <c r="Y178" s="143">
        <v>0.7653</v>
      </c>
      <c r="Z178" s="143">
        <v>0.8373</v>
      </c>
      <c r="AA178" s="143">
        <v>0.8427</v>
      </c>
      <c r="AB178" s="143">
        <v>0.5606</v>
      </c>
      <c r="AC178" s="143">
        <v>0.8405</v>
      </c>
      <c r="AD178" s="143">
        <v>0.3645</v>
      </c>
      <c r="AE178" s="143">
        <v>0.8793</v>
      </c>
      <c r="AF178" s="143">
        <v>0.4456</v>
      </c>
      <c r="AG178" s="143">
        <v>1.1433</v>
      </c>
      <c r="AH178" s="143">
        <v>1.0161</v>
      </c>
      <c r="AI178" s="143">
        <v>0.9725</v>
      </c>
      <c r="AJ178" s="143">
        <v>0.8147</v>
      </c>
      <c r="AK178" s="143">
        <v>0.847</v>
      </c>
      <c r="AL178" s="143">
        <v>0.5319</v>
      </c>
      <c r="AM178" s="143">
        <v>1.0781</v>
      </c>
      <c r="AN178" s="143">
        <v>0.6527</v>
      </c>
      <c r="AO178" s="143">
        <v>0.9498</v>
      </c>
      <c r="AP178" s="143">
        <v>0.7234</v>
      </c>
      <c r="AQ178" s="143">
        <v>0.8281</v>
      </c>
      <c r="AR178" s="143">
        <v>0.7906</v>
      </c>
      <c r="AS178" s="143">
        <v>1</v>
      </c>
      <c r="AT178" s="143">
        <v>0.5784</v>
      </c>
      <c r="AU178" s="143">
        <v>1.6518</v>
      </c>
      <c r="AV178" s="143">
        <v>0.5367</v>
      </c>
      <c r="AW178" s="143">
        <v>0.9965</v>
      </c>
      <c r="AX178" s="143">
        <v>0.7362</v>
      </c>
      <c r="AY178" s="143">
        <v>0.7385</v>
      </c>
      <c r="AZ178" s="143">
        <v>0.9279</v>
      </c>
      <c r="BA178" s="143">
        <v>0.8621</v>
      </c>
      <c r="BB178" s="143">
        <v>0.6566</v>
      </c>
      <c r="BC178" s="143">
        <v>0.6968</v>
      </c>
      <c r="BD178" s="143">
        <v>0.6094</v>
      </c>
      <c r="BE178" s="143">
        <v>1.6061</v>
      </c>
      <c r="BF178" s="143">
        <v>0.939</v>
      </c>
      <c r="BG178" s="143">
        <v>0.7584</v>
      </c>
      <c r="BH178" s="143">
        <v>1.1443</v>
      </c>
      <c r="BI178" s="143">
        <v>1.0041</v>
      </c>
      <c r="BJ178" s="143">
        <v>0.9297</v>
      </c>
      <c r="BK178" s="143">
        <v>0.8644</v>
      </c>
      <c r="BL178" s="143">
        <v>1.1197</v>
      </c>
      <c r="BM178" s="143">
        <v>1.1104</v>
      </c>
    </row>
    <row r="179" spans="2:65" ht="15">
      <c r="B179" s="143">
        <v>75</v>
      </c>
      <c r="C179" s="143">
        <v>3.5727</v>
      </c>
      <c r="D179" s="143">
        <v>1.1047</v>
      </c>
      <c r="E179" s="143">
        <v>0.9115</v>
      </c>
      <c r="F179" s="143">
        <v>1.8432</v>
      </c>
      <c r="G179" s="143">
        <v>1.2143</v>
      </c>
      <c r="H179" s="143">
        <v>1.1133</v>
      </c>
      <c r="I179" s="143">
        <v>1.0779</v>
      </c>
      <c r="J179" s="143">
        <v>2.3969</v>
      </c>
      <c r="K179" s="143">
        <v>4.216</v>
      </c>
      <c r="L179" s="143">
        <v>1.8071</v>
      </c>
      <c r="M179" s="143">
        <v>1.2612</v>
      </c>
      <c r="N179" s="143">
        <v>0.98</v>
      </c>
      <c r="O179" s="143">
        <v>1.9718</v>
      </c>
      <c r="P179" s="143">
        <v>1.1666</v>
      </c>
      <c r="Q179" s="143">
        <v>1.0829</v>
      </c>
      <c r="R179" s="143">
        <v>1.1163</v>
      </c>
      <c r="S179" s="143">
        <v>2.1883</v>
      </c>
      <c r="T179" s="143">
        <v>2.1628</v>
      </c>
      <c r="U179" s="143">
        <v>0.9427</v>
      </c>
      <c r="V179" s="143">
        <v>1.4085</v>
      </c>
      <c r="W179" s="143">
        <v>1.2987</v>
      </c>
      <c r="X179" s="143">
        <v>2.0836</v>
      </c>
      <c r="Y179" s="143">
        <v>1.1063</v>
      </c>
      <c r="Z179" s="143">
        <v>1.1454</v>
      </c>
      <c r="AA179" s="143">
        <v>1.1343</v>
      </c>
      <c r="AB179" s="143">
        <v>1.7012</v>
      </c>
      <c r="AC179" s="143">
        <v>3.9684</v>
      </c>
      <c r="AD179" s="143">
        <v>1.772</v>
      </c>
      <c r="AE179" s="143">
        <v>1.4463</v>
      </c>
      <c r="AF179" s="143">
        <v>0.9185</v>
      </c>
      <c r="AG179" s="143">
        <v>2.0221</v>
      </c>
      <c r="AH179" s="143">
        <v>1.2907</v>
      </c>
      <c r="AI179" s="143">
        <v>1.2309</v>
      </c>
      <c r="AJ179" s="143">
        <v>1.0686</v>
      </c>
      <c r="AK179" s="143">
        <v>2.4752</v>
      </c>
      <c r="AL179" s="143">
        <v>2.2311</v>
      </c>
      <c r="AM179" s="143">
        <v>4.1597</v>
      </c>
      <c r="AN179" s="143">
        <v>1.5416</v>
      </c>
      <c r="AO179" s="143">
        <v>2.6374</v>
      </c>
      <c r="AP179" s="143">
        <v>1.9111</v>
      </c>
      <c r="AQ179" s="143">
        <v>1.0517</v>
      </c>
      <c r="AR179" s="143">
        <v>1.249</v>
      </c>
      <c r="AS179" s="143">
        <v>1.1418</v>
      </c>
      <c r="AT179" s="143">
        <v>1.5658</v>
      </c>
      <c r="AU179" s="143" t="s">
        <v>79</v>
      </c>
      <c r="AV179" s="143">
        <v>2.4361</v>
      </c>
      <c r="AW179" s="143">
        <v>3.0715</v>
      </c>
      <c r="AX179" s="143">
        <v>1.014</v>
      </c>
      <c r="AY179" s="143">
        <v>1.7605</v>
      </c>
      <c r="AZ179" s="143">
        <v>1.1464</v>
      </c>
      <c r="BA179" s="143">
        <v>1.1705</v>
      </c>
      <c r="BB179" s="143">
        <v>1.0713</v>
      </c>
      <c r="BC179" s="143">
        <v>1.9872</v>
      </c>
      <c r="BD179" s="143">
        <v>2.1864</v>
      </c>
      <c r="BE179" s="143">
        <v>2.6818</v>
      </c>
      <c r="BF179" s="143">
        <v>1.1572</v>
      </c>
      <c r="BG179" s="143">
        <v>0.9209</v>
      </c>
      <c r="BH179" s="143">
        <v>1.8103</v>
      </c>
      <c r="BI179" s="143">
        <v>1.2122</v>
      </c>
      <c r="BJ179" s="143">
        <v>1.063</v>
      </c>
      <c r="BK179" s="143">
        <v>1.0355</v>
      </c>
      <c r="BL179" s="143">
        <v>2.1417</v>
      </c>
      <c r="BM179" s="143">
        <v>2.815</v>
      </c>
    </row>
    <row r="180" spans="2:65" ht="15">
      <c r="B180" s="143">
        <v>50</v>
      </c>
      <c r="C180" s="143">
        <v>2.8804</v>
      </c>
      <c r="D180" s="143">
        <v>0.9945</v>
      </c>
      <c r="E180" s="143">
        <v>0.7569</v>
      </c>
      <c r="F180" s="143">
        <v>1.3867</v>
      </c>
      <c r="G180" s="143">
        <v>1.0773</v>
      </c>
      <c r="H180" s="143">
        <v>0.9739</v>
      </c>
      <c r="I180" s="143">
        <v>0.9919</v>
      </c>
      <c r="J180" s="143">
        <v>1.6985</v>
      </c>
      <c r="K180" s="143">
        <v>2.096</v>
      </c>
      <c r="L180" s="143">
        <v>1.0884</v>
      </c>
      <c r="M180" s="143">
        <v>1.0408</v>
      </c>
      <c r="N180" s="143">
        <v>0.8812</v>
      </c>
      <c r="O180" s="143">
        <v>1.3341</v>
      </c>
      <c r="P180" s="143">
        <v>1.078</v>
      </c>
      <c r="Q180" s="143">
        <v>1.022</v>
      </c>
      <c r="R180" s="143">
        <v>0.9734</v>
      </c>
      <c r="S180" s="143">
        <v>1.356</v>
      </c>
      <c r="T180" s="143">
        <v>1.3991</v>
      </c>
      <c r="U180" s="143">
        <v>0.4066</v>
      </c>
      <c r="V180" s="143">
        <v>1.0056</v>
      </c>
      <c r="W180" s="143">
        <v>1.0267</v>
      </c>
      <c r="X180" s="143">
        <v>1.2505</v>
      </c>
      <c r="Y180" s="143">
        <v>0.9706</v>
      </c>
      <c r="Z180" s="143">
        <v>1.0301</v>
      </c>
      <c r="AA180" s="143">
        <v>0.9977</v>
      </c>
      <c r="AB180" s="143">
        <v>0.9347</v>
      </c>
      <c r="AC180" s="143">
        <v>2.385</v>
      </c>
      <c r="AD180" s="143">
        <v>1.0078</v>
      </c>
      <c r="AE180" s="143">
        <v>1.0308</v>
      </c>
      <c r="AF180" s="143">
        <v>0.796</v>
      </c>
      <c r="AG180" s="143">
        <v>1.6917</v>
      </c>
      <c r="AH180" s="143">
        <v>1.1542</v>
      </c>
      <c r="AI180" s="143">
        <v>1.0537</v>
      </c>
      <c r="AJ180" s="143">
        <v>0.9214</v>
      </c>
      <c r="AK180" s="143">
        <v>1.3675</v>
      </c>
      <c r="AL180" s="143">
        <v>0.9963</v>
      </c>
      <c r="AM180" s="143">
        <v>3.0458</v>
      </c>
      <c r="AN180" s="143">
        <v>0.9856</v>
      </c>
      <c r="AO180" s="143">
        <v>1.5899</v>
      </c>
      <c r="AP180" s="143">
        <v>1.1148</v>
      </c>
      <c r="AQ180" s="143">
        <v>0.9619</v>
      </c>
      <c r="AR180" s="143">
        <v>0.9764</v>
      </c>
      <c r="AS180" s="143">
        <v>1.0561</v>
      </c>
      <c r="AT180" s="143">
        <v>1.1381</v>
      </c>
      <c r="AU180" s="143">
        <v>2.6802</v>
      </c>
      <c r="AV180" s="143">
        <v>1.3655</v>
      </c>
      <c r="AW180" s="143">
        <v>1.1623</v>
      </c>
      <c r="AX180" s="143">
        <v>0.9166</v>
      </c>
      <c r="AY180" s="143">
        <v>1.2442</v>
      </c>
      <c r="AZ180" s="143">
        <v>1.0017</v>
      </c>
      <c r="BA180" s="143">
        <v>1.0077</v>
      </c>
      <c r="BB180" s="143">
        <v>0.9588</v>
      </c>
      <c r="BC180" s="143">
        <v>1.1683</v>
      </c>
      <c r="BD180" s="143">
        <v>1.4556</v>
      </c>
      <c r="BE180" s="143">
        <v>1.9807</v>
      </c>
      <c r="BF180" s="143">
        <v>1.0004</v>
      </c>
      <c r="BG180" s="143">
        <v>0.8345</v>
      </c>
      <c r="BH180" s="143">
        <v>1.4305</v>
      </c>
      <c r="BI180" s="143">
        <v>1.0732</v>
      </c>
      <c r="BJ180" s="143">
        <v>1.009</v>
      </c>
      <c r="BK180" s="143">
        <v>0.9701</v>
      </c>
      <c r="BL180" s="143">
        <v>1.5366</v>
      </c>
      <c r="BM180" s="143">
        <v>1.5498</v>
      </c>
    </row>
    <row r="181" ht="15">
      <c r="A181" s="143" t="s">
        <v>184</v>
      </c>
    </row>
  </sheetData>
  <mergeCells count="3">
    <mergeCell ref="A30:B30"/>
    <mergeCell ref="A29:D29"/>
    <mergeCell ref="G29:J29"/>
  </mergeCells>
  <printOptions/>
  <pageMargins left="0.7" right="0.7" top="0.75" bottom="0.75" header="0.3" footer="0.3"/>
  <pageSetup horizontalDpi="600" verticalDpi="600" orientation="portrait"/>
  <rowBreaks count="2" manualBreakCount="2">
    <brk id="45" max="255" man="1"/>
    <brk id="136" max="255" man="1"/>
  </rowBreaks>
  <drawing r:id="rId1"/>
</worksheet>
</file>

<file path=xl/worksheets/sheet13.xml><?xml version="1.0" encoding="utf-8"?>
<worksheet xmlns="http://schemas.openxmlformats.org/spreadsheetml/2006/main" xmlns:r="http://schemas.openxmlformats.org/officeDocument/2006/relationships">
  <dimension ref="A1:BM194"/>
  <sheetViews>
    <sheetView showGridLines="0" showRowColHeaders="0" zoomScale="150" zoomScaleNormal="150" workbookViewId="0" topLeftCell="A1">
      <selection activeCell="A3" sqref="A3"/>
    </sheetView>
  </sheetViews>
  <sheetFormatPr defaultColWidth="9.140625" defaultRowHeight="15"/>
  <cols>
    <col min="1" max="16384" width="9.140625" style="143" customWidth="1"/>
  </cols>
  <sheetData>
    <row r="1" ht="15.75">
      <c r="A1" s="35" t="s">
        <v>46</v>
      </c>
    </row>
    <row r="2" ht="15.75">
      <c r="A2" s="71" t="s">
        <v>43</v>
      </c>
    </row>
    <row r="3" ht="15.75">
      <c r="A3" s="35"/>
    </row>
    <row r="5" ht="15">
      <c r="A5" s="125"/>
    </row>
    <row r="31" spans="1:10" ht="15">
      <c r="A31" s="45"/>
      <c r="B31" s="45"/>
      <c r="C31" s="45"/>
      <c r="D31" s="45"/>
      <c r="G31" s="45"/>
      <c r="H31" s="45"/>
      <c r="I31" s="45"/>
      <c r="J31" s="45"/>
    </row>
    <row r="32" spans="1:2" ht="15">
      <c r="A32" s="45"/>
      <c r="B32" s="45"/>
    </row>
    <row r="33" spans="3:9" ht="15">
      <c r="C33" s="168"/>
      <c r="D33" s="168"/>
      <c r="H33" s="168"/>
      <c r="I33" s="168"/>
    </row>
    <row r="34" spans="3:9" ht="15">
      <c r="C34" s="168"/>
      <c r="D34" s="168"/>
      <c r="H34" s="168"/>
      <c r="I34" s="168"/>
    </row>
    <row r="35" spans="3:9" ht="15">
      <c r="C35" s="168"/>
      <c r="D35" s="168"/>
      <c r="H35" s="168"/>
      <c r="I35" s="168"/>
    </row>
    <row r="36" spans="3:9" ht="15">
      <c r="C36" s="168"/>
      <c r="D36" s="168"/>
      <c r="H36" s="168"/>
      <c r="I36" s="168"/>
    </row>
    <row r="37" spans="3:9" ht="15">
      <c r="C37" s="168"/>
      <c r="D37" s="168"/>
      <c r="H37" s="168"/>
      <c r="I37" s="168"/>
    </row>
    <row r="38" spans="3:9" ht="15">
      <c r="C38" s="168"/>
      <c r="D38" s="168"/>
      <c r="H38" s="168"/>
      <c r="I38" s="168"/>
    </row>
    <row r="39" spans="3:9" ht="15">
      <c r="C39" s="168"/>
      <c r="D39" s="168"/>
      <c r="H39" s="65"/>
      <c r="I39" s="65"/>
    </row>
    <row r="40" spans="3:4" ht="15">
      <c r="C40" s="168"/>
      <c r="D40" s="168"/>
    </row>
    <row r="41" spans="3:4" ht="15">
      <c r="C41" s="168"/>
      <c r="D41" s="168"/>
    </row>
    <row r="42" spans="3:4" ht="15">
      <c r="C42" s="65"/>
      <c r="D42" s="65"/>
    </row>
    <row r="186" ht="15">
      <c r="A186" s="111" t="str">
        <f>'Data Entry'!A2</f>
        <v>State : Virginia</v>
      </c>
    </row>
    <row r="187" spans="3:65" ht="15">
      <c r="C187" s="143" t="s">
        <v>58</v>
      </c>
      <c r="D187" s="143" t="s">
        <v>233</v>
      </c>
      <c r="E187" s="143" t="s">
        <v>5</v>
      </c>
      <c r="F187" s="143" t="s">
        <v>80</v>
      </c>
      <c r="G187" s="143" t="s">
        <v>72</v>
      </c>
      <c r="H187" s="143" t="s">
        <v>17</v>
      </c>
      <c r="I187" s="143" t="s">
        <v>45</v>
      </c>
      <c r="J187" s="143" t="s">
        <v>88</v>
      </c>
      <c r="K187" s="143" t="s">
        <v>51</v>
      </c>
      <c r="L187" s="143" t="s">
        <v>162</v>
      </c>
      <c r="M187" s="143" t="s">
        <v>93</v>
      </c>
      <c r="N187" s="143" t="s">
        <v>114</v>
      </c>
      <c r="O187" s="143" t="s">
        <v>196</v>
      </c>
      <c r="P187" s="143" t="s">
        <v>185</v>
      </c>
      <c r="Q187" s="143" t="s">
        <v>205</v>
      </c>
      <c r="R187" s="143" t="s">
        <v>62</v>
      </c>
      <c r="S187" s="143" t="s">
        <v>106</v>
      </c>
      <c r="T187" s="143" t="s">
        <v>53</v>
      </c>
      <c r="U187" s="143" t="s">
        <v>7</v>
      </c>
      <c r="V187" s="143" t="s">
        <v>194</v>
      </c>
      <c r="W187" s="143" t="s">
        <v>208</v>
      </c>
      <c r="X187" s="143" t="s">
        <v>37</v>
      </c>
      <c r="Y187" s="143" t="s">
        <v>31</v>
      </c>
      <c r="Z187" s="143" t="s">
        <v>54</v>
      </c>
      <c r="AA187" s="143" t="s">
        <v>100</v>
      </c>
      <c r="AB187" s="143" t="s">
        <v>153</v>
      </c>
      <c r="AC187" s="143" t="s">
        <v>222</v>
      </c>
      <c r="AD187" s="143" t="s">
        <v>183</v>
      </c>
      <c r="AE187" s="143" t="s">
        <v>119</v>
      </c>
      <c r="AF187" s="143" t="s">
        <v>130</v>
      </c>
      <c r="AG187" s="143" t="s">
        <v>211</v>
      </c>
      <c r="AH187" s="143" t="s">
        <v>204</v>
      </c>
      <c r="AI187" s="143" t="s">
        <v>141</v>
      </c>
      <c r="AJ187" s="143" t="s">
        <v>12</v>
      </c>
      <c r="AK187" s="143" t="s">
        <v>134</v>
      </c>
      <c r="AL187" s="143" t="s">
        <v>179</v>
      </c>
      <c r="AM187" s="143" t="s">
        <v>146</v>
      </c>
      <c r="AN187" s="143" t="s">
        <v>87</v>
      </c>
      <c r="AO187" s="143" t="s">
        <v>101</v>
      </c>
      <c r="AP187" s="143" t="s">
        <v>190</v>
      </c>
      <c r="AQ187" s="143" t="s">
        <v>176</v>
      </c>
      <c r="AR187" s="143" t="s">
        <v>121</v>
      </c>
      <c r="AS187" s="143" t="s">
        <v>221</v>
      </c>
      <c r="AT187" s="143" t="s">
        <v>25</v>
      </c>
      <c r="AU187" s="143" t="s">
        <v>110</v>
      </c>
      <c r="AV187" s="143" t="s">
        <v>232</v>
      </c>
      <c r="AW187" s="143" t="s">
        <v>171</v>
      </c>
      <c r="AX187" s="143" t="s">
        <v>193</v>
      </c>
      <c r="AY187" s="143" t="s">
        <v>19</v>
      </c>
      <c r="AZ187" s="143" t="s">
        <v>8</v>
      </c>
      <c r="BA187" s="143" t="s">
        <v>33</v>
      </c>
      <c r="BB187" s="143" t="s">
        <v>38</v>
      </c>
      <c r="BC187" s="143" t="s">
        <v>85</v>
      </c>
      <c r="BD187" s="143" t="s">
        <v>142</v>
      </c>
      <c r="BE187" s="143" t="s">
        <v>220</v>
      </c>
      <c r="BF187" s="143" t="s">
        <v>156</v>
      </c>
      <c r="BG187" s="143" t="s">
        <v>175</v>
      </c>
      <c r="BH187" s="143" t="s">
        <v>6</v>
      </c>
      <c r="BI187" s="143" t="s">
        <v>0</v>
      </c>
      <c r="BJ187" s="143" t="s">
        <v>192</v>
      </c>
      <c r="BK187" s="143" t="s">
        <v>13</v>
      </c>
      <c r="BL187" s="143" t="s">
        <v>135</v>
      </c>
      <c r="BM187" s="143" t="s">
        <v>35</v>
      </c>
    </row>
    <row r="188" spans="1:65" ht="15">
      <c r="A188" s="143" t="s">
        <v>188</v>
      </c>
      <c r="B188" s="143" t="s">
        <v>92</v>
      </c>
      <c r="C188" s="143">
        <v>38</v>
      </c>
      <c r="D188" s="143">
        <v>25</v>
      </c>
      <c r="E188" s="143">
        <v>31</v>
      </c>
      <c r="F188" s="143">
        <v>31</v>
      </c>
      <c r="G188" s="143">
        <v>30</v>
      </c>
      <c r="H188" s="143">
        <v>33</v>
      </c>
      <c r="I188" s="143">
        <v>36</v>
      </c>
      <c r="J188" s="143">
        <v>36</v>
      </c>
      <c r="K188" s="143">
        <v>25</v>
      </c>
      <c r="L188" s="143">
        <v>29</v>
      </c>
      <c r="M188" s="143">
        <v>20</v>
      </c>
      <c r="N188" s="143">
        <v>27</v>
      </c>
      <c r="O188" s="143">
        <v>27</v>
      </c>
      <c r="P188" s="143">
        <v>27</v>
      </c>
      <c r="Q188" s="143">
        <v>27</v>
      </c>
      <c r="R188" s="143">
        <v>29</v>
      </c>
      <c r="S188" s="143">
        <v>28</v>
      </c>
      <c r="T188" s="143">
        <v>19</v>
      </c>
      <c r="U188" s="143">
        <v>32</v>
      </c>
      <c r="V188" s="143">
        <v>21</v>
      </c>
      <c r="W188" s="143">
        <v>25</v>
      </c>
      <c r="X188" s="143">
        <v>24</v>
      </c>
      <c r="Y188" s="143">
        <v>25</v>
      </c>
      <c r="Z188" s="143">
        <v>28</v>
      </c>
      <c r="AA188" s="143">
        <v>28</v>
      </c>
      <c r="AB188" s="143">
        <v>21</v>
      </c>
      <c r="AC188" s="143">
        <v>10</v>
      </c>
      <c r="AD188" s="143">
        <v>30</v>
      </c>
      <c r="AE188" s="143">
        <v>19</v>
      </c>
      <c r="AF188" s="143">
        <v>24</v>
      </c>
      <c r="AG188" s="143">
        <v>20</v>
      </c>
      <c r="AH188" s="143">
        <v>22</v>
      </c>
      <c r="AI188" s="143">
        <v>24</v>
      </c>
      <c r="AJ188" s="143">
        <v>25</v>
      </c>
      <c r="AK188" s="143">
        <v>20</v>
      </c>
      <c r="AL188" s="143">
        <v>12</v>
      </c>
      <c r="AM188" s="143">
        <v>4</v>
      </c>
      <c r="AN188" s="143">
        <v>7</v>
      </c>
      <c r="AO188" s="143">
        <v>11</v>
      </c>
      <c r="AP188" s="143">
        <v>9</v>
      </c>
      <c r="AQ188" s="143">
        <v>9</v>
      </c>
      <c r="AR188" s="143">
        <v>8</v>
      </c>
      <c r="AS188" s="143">
        <v>8</v>
      </c>
      <c r="AT188" s="143">
        <v>4</v>
      </c>
      <c r="AU188" s="143">
        <v>3</v>
      </c>
      <c r="AV188" s="143">
        <v>15</v>
      </c>
      <c r="AW188" s="143">
        <v>18</v>
      </c>
      <c r="AX188" s="143">
        <v>27</v>
      </c>
      <c r="AY188" s="143">
        <v>25</v>
      </c>
      <c r="AZ188" s="143">
        <v>25</v>
      </c>
      <c r="BA188" s="143">
        <v>27</v>
      </c>
      <c r="BB188" s="143">
        <v>30</v>
      </c>
      <c r="BC188" s="143">
        <v>26</v>
      </c>
      <c r="BD188" s="143">
        <v>15</v>
      </c>
      <c r="BE188" s="143">
        <v>38</v>
      </c>
      <c r="BF188" s="143">
        <v>25</v>
      </c>
      <c r="BG188" s="143">
        <v>31</v>
      </c>
      <c r="BH188" s="143">
        <v>31</v>
      </c>
      <c r="BI188" s="143">
        <v>30</v>
      </c>
      <c r="BJ188" s="143">
        <v>33</v>
      </c>
      <c r="BK188" s="143">
        <v>36</v>
      </c>
      <c r="BL188" s="143">
        <v>37</v>
      </c>
      <c r="BM188" s="143">
        <v>28</v>
      </c>
    </row>
    <row r="189" spans="2:65" ht="15">
      <c r="B189" s="143" t="s">
        <v>49</v>
      </c>
      <c r="C189" s="143">
        <v>9</v>
      </c>
      <c r="D189" s="143">
        <v>22</v>
      </c>
      <c r="E189" s="143">
        <v>16</v>
      </c>
      <c r="F189" s="143">
        <v>16</v>
      </c>
      <c r="G189" s="143">
        <v>17</v>
      </c>
      <c r="H189" s="143">
        <v>14</v>
      </c>
      <c r="I189" s="143">
        <v>11</v>
      </c>
      <c r="J189" s="143">
        <v>11</v>
      </c>
      <c r="K189" s="143">
        <v>22</v>
      </c>
      <c r="L189" s="143">
        <v>18</v>
      </c>
      <c r="M189" s="143">
        <v>27</v>
      </c>
      <c r="N189" s="143">
        <v>20</v>
      </c>
      <c r="O189" s="143">
        <v>20</v>
      </c>
      <c r="P189" s="143">
        <v>20</v>
      </c>
      <c r="Q189" s="143">
        <v>20</v>
      </c>
      <c r="R189" s="143">
        <v>18</v>
      </c>
      <c r="S189" s="143">
        <v>19</v>
      </c>
      <c r="T189" s="143">
        <v>28</v>
      </c>
      <c r="U189" s="143">
        <v>15</v>
      </c>
      <c r="V189" s="143">
        <v>26</v>
      </c>
      <c r="W189" s="143">
        <v>22</v>
      </c>
      <c r="X189" s="143">
        <v>23</v>
      </c>
      <c r="Y189" s="143">
        <v>22</v>
      </c>
      <c r="Z189" s="143">
        <v>19</v>
      </c>
      <c r="AA189" s="143">
        <v>19</v>
      </c>
      <c r="AB189" s="143">
        <v>26</v>
      </c>
      <c r="AC189" s="143">
        <v>37</v>
      </c>
      <c r="AD189" s="143">
        <v>17</v>
      </c>
      <c r="AE189" s="143">
        <v>28</v>
      </c>
      <c r="AF189" s="143">
        <v>23</v>
      </c>
      <c r="AG189" s="143">
        <v>27</v>
      </c>
      <c r="AH189" s="143">
        <v>25</v>
      </c>
      <c r="AI189" s="143">
        <v>23</v>
      </c>
      <c r="AJ189" s="143">
        <v>22</v>
      </c>
      <c r="AK189" s="143">
        <v>27</v>
      </c>
      <c r="AL189" s="143">
        <v>35</v>
      </c>
      <c r="AM189" s="143">
        <v>43</v>
      </c>
      <c r="AN189" s="143">
        <v>40</v>
      </c>
      <c r="AO189" s="143">
        <v>36</v>
      </c>
      <c r="AP189" s="143">
        <v>38</v>
      </c>
      <c r="AQ189" s="143">
        <v>38</v>
      </c>
      <c r="AR189" s="143">
        <v>39</v>
      </c>
      <c r="AS189" s="143">
        <v>39</v>
      </c>
      <c r="AT189" s="143">
        <v>43</v>
      </c>
      <c r="AU189" s="143">
        <v>44</v>
      </c>
      <c r="AV189" s="143">
        <v>32</v>
      </c>
      <c r="AW189" s="143">
        <v>29</v>
      </c>
      <c r="AX189" s="143">
        <v>20</v>
      </c>
      <c r="AY189" s="143">
        <v>22</v>
      </c>
      <c r="AZ189" s="143">
        <v>22</v>
      </c>
      <c r="BA189" s="143">
        <v>20</v>
      </c>
      <c r="BB189" s="143">
        <v>17</v>
      </c>
      <c r="BC189" s="143">
        <v>21</v>
      </c>
      <c r="BD189" s="143">
        <v>32</v>
      </c>
      <c r="BE189" s="143">
        <v>9</v>
      </c>
      <c r="BF189" s="143">
        <v>22</v>
      </c>
      <c r="BG189" s="143">
        <v>16</v>
      </c>
      <c r="BH189" s="143">
        <v>16</v>
      </c>
      <c r="BI189" s="143">
        <v>17</v>
      </c>
      <c r="BJ189" s="143">
        <v>14</v>
      </c>
      <c r="BK189" s="143">
        <v>11</v>
      </c>
      <c r="BL189" s="143">
        <v>10</v>
      </c>
      <c r="BM189" s="143">
        <v>19</v>
      </c>
    </row>
    <row r="190" spans="1:65" s="41" customFormat="1" ht="15">
      <c r="A190" s="41" t="s">
        <v>177</v>
      </c>
      <c r="B190" s="41">
        <v>25</v>
      </c>
      <c r="C190" s="41">
        <v>2.348</v>
      </c>
      <c r="D190" s="41">
        <v>0.9249</v>
      </c>
      <c r="E190" s="41">
        <v>0.6666</v>
      </c>
      <c r="F190" s="41">
        <v>1.224</v>
      </c>
      <c r="G190" s="41">
        <v>0.9865</v>
      </c>
      <c r="H190" s="41">
        <v>0.9024</v>
      </c>
      <c r="I190" s="41">
        <v>0.8859</v>
      </c>
      <c r="J190" s="41">
        <v>1.0326</v>
      </c>
      <c r="K190" s="41">
        <v>1.2496</v>
      </c>
      <c r="L190" s="41">
        <v>0.7202</v>
      </c>
      <c r="M190" s="41">
        <v>0.9704</v>
      </c>
      <c r="N190" s="41">
        <v>0.8168</v>
      </c>
      <c r="O190" s="41">
        <v>1.0107</v>
      </c>
      <c r="P190" s="41">
        <v>1.0085</v>
      </c>
      <c r="Q190" s="41">
        <v>0.9538</v>
      </c>
      <c r="R190" s="41">
        <v>0.9144</v>
      </c>
      <c r="S190" s="41">
        <v>1.0568</v>
      </c>
      <c r="T190" s="41">
        <v>0.821</v>
      </c>
      <c r="U190" s="41">
        <v>0.2158</v>
      </c>
      <c r="V190" s="41">
        <v>0.8419</v>
      </c>
      <c r="W190" s="41">
        <v>0.9431</v>
      </c>
      <c r="X190" s="41">
        <v>0.7406</v>
      </c>
      <c r="Y190" s="41">
        <v>0.7653</v>
      </c>
      <c r="Z190" s="41">
        <v>0.8373</v>
      </c>
      <c r="AA190" s="41">
        <v>0.8427</v>
      </c>
      <c r="AB190" s="41">
        <v>0.5606</v>
      </c>
      <c r="AC190" s="41">
        <v>0.8405</v>
      </c>
      <c r="AD190" s="41">
        <v>0.3645</v>
      </c>
      <c r="AE190" s="41">
        <v>0.8793</v>
      </c>
      <c r="AF190" s="41">
        <v>0.4456</v>
      </c>
      <c r="AG190" s="41">
        <v>1.1433</v>
      </c>
      <c r="AH190" s="41">
        <v>1.0161</v>
      </c>
      <c r="AI190" s="41">
        <v>0.9725</v>
      </c>
      <c r="AJ190" s="41">
        <v>0.8147</v>
      </c>
      <c r="AK190" s="41">
        <v>0.847</v>
      </c>
      <c r="AL190" s="41">
        <v>0.5319</v>
      </c>
      <c r="AM190" s="41">
        <v>1.0781</v>
      </c>
      <c r="AN190" s="41">
        <v>0.6527</v>
      </c>
      <c r="AO190" s="41">
        <v>0.9498</v>
      </c>
      <c r="AP190" s="41">
        <v>0.7234</v>
      </c>
      <c r="AQ190" s="41">
        <v>0.8281</v>
      </c>
      <c r="AR190" s="41">
        <v>0.7906</v>
      </c>
      <c r="AS190" s="41">
        <v>1</v>
      </c>
      <c r="AT190" s="41">
        <v>0.5784</v>
      </c>
      <c r="AU190" s="41">
        <v>1.6518</v>
      </c>
      <c r="AV190" s="41">
        <v>0.5367</v>
      </c>
      <c r="AW190" s="41">
        <v>0.9965</v>
      </c>
      <c r="AX190" s="41">
        <v>0.7362</v>
      </c>
      <c r="AY190" s="41">
        <v>0.7385</v>
      </c>
      <c r="AZ190" s="41">
        <v>0.9279</v>
      </c>
      <c r="BA190" s="41">
        <v>0.8621</v>
      </c>
      <c r="BB190" s="41">
        <v>0.6566</v>
      </c>
      <c r="BC190" s="41">
        <v>0.6968</v>
      </c>
      <c r="BD190" s="41">
        <v>0.6094</v>
      </c>
      <c r="BE190" s="41">
        <v>1.6061</v>
      </c>
      <c r="BF190" s="41">
        <v>0.939</v>
      </c>
      <c r="BG190" s="41">
        <v>0.7584</v>
      </c>
      <c r="BH190" s="41">
        <v>1.1443</v>
      </c>
      <c r="BI190" s="41">
        <v>1.0041</v>
      </c>
      <c r="BJ190" s="41">
        <v>0.9297</v>
      </c>
      <c r="BK190" s="41">
        <v>0.8644</v>
      </c>
      <c r="BL190" s="41">
        <v>1.1197</v>
      </c>
      <c r="BM190" s="41">
        <v>1.1104</v>
      </c>
    </row>
    <row r="191" spans="2:65" s="41" customFormat="1" ht="15">
      <c r="B191" s="41">
        <v>75</v>
      </c>
      <c r="C191" s="41">
        <v>3.5727</v>
      </c>
      <c r="D191" s="41">
        <v>1.1047</v>
      </c>
      <c r="E191" s="41">
        <v>0.9115</v>
      </c>
      <c r="F191" s="41">
        <v>1.8432</v>
      </c>
      <c r="G191" s="41">
        <v>1.2143</v>
      </c>
      <c r="H191" s="41">
        <v>1.1133</v>
      </c>
      <c r="I191" s="41">
        <v>1.0779</v>
      </c>
      <c r="J191" s="41">
        <v>2.3969</v>
      </c>
      <c r="K191" s="41">
        <v>4.216</v>
      </c>
      <c r="L191" s="41">
        <v>1.8071</v>
      </c>
      <c r="M191" s="41">
        <v>1.2612</v>
      </c>
      <c r="N191" s="41">
        <v>0.98</v>
      </c>
      <c r="O191" s="41">
        <v>1.9718</v>
      </c>
      <c r="P191" s="41">
        <v>1.1666</v>
      </c>
      <c r="Q191" s="41">
        <v>1.0829</v>
      </c>
      <c r="R191" s="41">
        <v>1.1163</v>
      </c>
      <c r="S191" s="41">
        <v>2.1883</v>
      </c>
      <c r="T191" s="41">
        <v>2.1628</v>
      </c>
      <c r="U191" s="41">
        <v>0.9427</v>
      </c>
      <c r="V191" s="41">
        <v>1.4085</v>
      </c>
      <c r="W191" s="41">
        <v>1.2987</v>
      </c>
      <c r="X191" s="41">
        <v>2.0836</v>
      </c>
      <c r="Y191" s="41">
        <v>1.1063</v>
      </c>
      <c r="Z191" s="41">
        <v>1.1454</v>
      </c>
      <c r="AA191" s="41">
        <v>1.1343</v>
      </c>
      <c r="AB191" s="41">
        <v>1.7012</v>
      </c>
      <c r="AC191" s="41">
        <v>3.9684</v>
      </c>
      <c r="AD191" s="41">
        <v>1.772</v>
      </c>
      <c r="AE191" s="41">
        <v>1.4463</v>
      </c>
      <c r="AF191" s="41">
        <v>0.9185</v>
      </c>
      <c r="AG191" s="41">
        <v>2.0221</v>
      </c>
      <c r="AH191" s="41">
        <v>1.2907</v>
      </c>
      <c r="AI191" s="41">
        <v>1.2309</v>
      </c>
      <c r="AJ191" s="41">
        <v>1.0686</v>
      </c>
      <c r="AK191" s="41">
        <v>2.4752</v>
      </c>
      <c r="AL191" s="41">
        <v>2.2311</v>
      </c>
      <c r="AM191" s="41">
        <v>4.1597</v>
      </c>
      <c r="AN191" s="41">
        <v>1.5416</v>
      </c>
      <c r="AO191" s="41">
        <v>2.6374</v>
      </c>
      <c r="AP191" s="41">
        <v>1.9111</v>
      </c>
      <c r="AQ191" s="41">
        <v>1.0517</v>
      </c>
      <c r="AR191" s="41">
        <v>1.249</v>
      </c>
      <c r="AS191" s="41">
        <v>1.1418</v>
      </c>
      <c r="AT191" s="41">
        <v>1.5658</v>
      </c>
      <c r="AU191" s="41" t="s">
        <v>79</v>
      </c>
      <c r="AV191" s="41">
        <v>2.4361</v>
      </c>
      <c r="AW191" s="41">
        <v>3.0715</v>
      </c>
      <c r="AX191" s="41">
        <v>1.014</v>
      </c>
      <c r="AY191" s="41">
        <v>1.7605</v>
      </c>
      <c r="AZ191" s="41">
        <v>1.1464</v>
      </c>
      <c r="BA191" s="41">
        <v>1.1705</v>
      </c>
      <c r="BB191" s="41">
        <v>1.0713</v>
      </c>
      <c r="BC191" s="41">
        <v>1.9872</v>
      </c>
      <c r="BD191" s="41">
        <v>2.1864</v>
      </c>
      <c r="BE191" s="41">
        <v>2.6818</v>
      </c>
      <c r="BF191" s="41">
        <v>1.1572</v>
      </c>
      <c r="BG191" s="41">
        <v>0.9209</v>
      </c>
      <c r="BH191" s="41">
        <v>1.8103</v>
      </c>
      <c r="BI191" s="41">
        <v>1.2122</v>
      </c>
      <c r="BJ191" s="41">
        <v>1.063</v>
      </c>
      <c r="BK191" s="41">
        <v>1.0355</v>
      </c>
      <c r="BL191" s="41">
        <v>2.1417</v>
      </c>
      <c r="BM191" s="41">
        <v>2.815</v>
      </c>
    </row>
    <row r="192" spans="2:65" s="41" customFormat="1" ht="15">
      <c r="B192" s="41">
        <v>50</v>
      </c>
      <c r="C192" s="41">
        <v>2.8804</v>
      </c>
      <c r="D192" s="41">
        <v>0.9945</v>
      </c>
      <c r="E192" s="41">
        <v>0.7569</v>
      </c>
      <c r="F192" s="41">
        <v>1.3867</v>
      </c>
      <c r="G192" s="41">
        <v>1.0773</v>
      </c>
      <c r="H192" s="41">
        <v>0.9739</v>
      </c>
      <c r="I192" s="41">
        <v>0.9919</v>
      </c>
      <c r="J192" s="41">
        <v>1.6985</v>
      </c>
      <c r="K192" s="41">
        <v>2.096</v>
      </c>
      <c r="L192" s="41">
        <v>1.0884</v>
      </c>
      <c r="M192" s="41">
        <v>1.0408</v>
      </c>
      <c r="N192" s="41">
        <v>0.8812</v>
      </c>
      <c r="O192" s="41">
        <v>1.3341</v>
      </c>
      <c r="P192" s="41">
        <v>1.078</v>
      </c>
      <c r="Q192" s="41">
        <v>1.022</v>
      </c>
      <c r="R192" s="41">
        <v>0.9734</v>
      </c>
      <c r="S192" s="41">
        <v>1.356</v>
      </c>
      <c r="T192" s="41">
        <v>1.3991</v>
      </c>
      <c r="U192" s="41">
        <v>0.4066</v>
      </c>
      <c r="V192" s="41">
        <v>1.0056</v>
      </c>
      <c r="W192" s="41">
        <v>1.0267</v>
      </c>
      <c r="X192" s="41">
        <v>1.2505</v>
      </c>
      <c r="Y192" s="41">
        <v>0.9706</v>
      </c>
      <c r="Z192" s="41">
        <v>1.0301</v>
      </c>
      <c r="AA192" s="41">
        <v>0.9977</v>
      </c>
      <c r="AB192" s="41">
        <v>0.9347</v>
      </c>
      <c r="AC192" s="41">
        <v>2.385</v>
      </c>
      <c r="AD192" s="41">
        <v>1.0078</v>
      </c>
      <c r="AE192" s="41">
        <v>1.0308</v>
      </c>
      <c r="AF192" s="41">
        <v>0.796</v>
      </c>
      <c r="AG192" s="41">
        <v>1.6917</v>
      </c>
      <c r="AH192" s="41">
        <v>1.1542</v>
      </c>
      <c r="AI192" s="41">
        <v>1.0537</v>
      </c>
      <c r="AJ192" s="41">
        <v>0.9214</v>
      </c>
      <c r="AK192" s="41">
        <v>1.3675</v>
      </c>
      <c r="AL192" s="41">
        <v>0.9963</v>
      </c>
      <c r="AM192" s="41">
        <v>3.0458</v>
      </c>
      <c r="AN192" s="41">
        <v>0.9856</v>
      </c>
      <c r="AO192" s="41">
        <v>1.5899</v>
      </c>
      <c r="AP192" s="41">
        <v>1.1148</v>
      </c>
      <c r="AQ192" s="41">
        <v>0.9619</v>
      </c>
      <c r="AR192" s="41">
        <v>0.9764</v>
      </c>
      <c r="AS192" s="41">
        <v>1.0561</v>
      </c>
      <c r="AT192" s="41">
        <v>1.1381</v>
      </c>
      <c r="AU192" s="41">
        <v>2.6802</v>
      </c>
      <c r="AV192" s="41">
        <v>1.3655</v>
      </c>
      <c r="AW192" s="41">
        <v>1.1623</v>
      </c>
      <c r="AX192" s="41">
        <v>0.9166</v>
      </c>
      <c r="AY192" s="41">
        <v>1.2442</v>
      </c>
      <c r="AZ192" s="41">
        <v>1.0017</v>
      </c>
      <c r="BA192" s="41">
        <v>1.0077</v>
      </c>
      <c r="BB192" s="41">
        <v>0.9588</v>
      </c>
      <c r="BC192" s="41">
        <v>1.1683</v>
      </c>
      <c r="BD192" s="41">
        <v>1.4556</v>
      </c>
      <c r="BE192" s="41">
        <v>1.9807</v>
      </c>
      <c r="BF192" s="41">
        <v>1.0004</v>
      </c>
      <c r="BG192" s="41">
        <v>0.8345</v>
      </c>
      <c r="BH192" s="41">
        <v>1.4305</v>
      </c>
      <c r="BI192" s="41">
        <v>1.0732</v>
      </c>
      <c r="BJ192" s="41">
        <v>1.009</v>
      </c>
      <c r="BK192" s="41">
        <v>0.9701</v>
      </c>
      <c r="BL192" s="41">
        <v>1.5366</v>
      </c>
      <c r="BM192" s="41">
        <v>1.5498</v>
      </c>
    </row>
    <row r="193" spans="2:65" s="41" customFormat="1" ht="15">
      <c r="B193" s="41" t="str">
        <f>A186</f>
        <v>State : Virginia</v>
      </c>
      <c r="C193" s="41" t="str">
        <f>Summary!$D18</f>
        <v>**</v>
      </c>
      <c r="D193" s="41">
        <f>Summary!$D19</f>
        <v>2.7383794893088647</v>
      </c>
      <c r="E193" s="41">
        <f>Summary!$D20</f>
        <v>0.7799020362494052</v>
      </c>
      <c r="F193" s="41">
        <f>Summary!$D21</f>
        <v>1.8107888693425664</v>
      </c>
      <c r="G193" s="41">
        <f>Summary!$D22</f>
        <v>1.0708070511714778</v>
      </c>
      <c r="H193" s="41">
        <f>Summary!$D23</f>
        <v>1.3141367457017952</v>
      </c>
      <c r="I193" s="41">
        <f>Summary!$D24</f>
        <v>0.750852254399636</v>
      </c>
      <c r="J193" s="41">
        <f>Summary!$D25</f>
        <v>1.9794439752101751</v>
      </c>
      <c r="K193" s="41" t="str">
        <f>Summary!$D26</f>
        <v>**</v>
      </c>
      <c r="L193" s="41" t="str">
        <f>Summary!$E18</f>
        <v>**</v>
      </c>
      <c r="M193" s="41">
        <f>Summary!$E19</f>
        <v>1.044023347354661</v>
      </c>
      <c r="N193" s="41">
        <f>Summary!$E20</f>
        <v>0.8283467224682618</v>
      </c>
      <c r="O193" s="41">
        <f>Summary!$E21</f>
        <v>1.4797610412905917</v>
      </c>
      <c r="P193" s="41">
        <f>Summary!$E22</f>
        <v>1.081198721694841</v>
      </c>
      <c r="Q193" s="41">
        <f>Summary!$E23</f>
        <v>1.3686591069662977</v>
      </c>
      <c r="R193" s="41">
        <f>Summary!$E24</f>
        <v>0.8584137738596629</v>
      </c>
      <c r="S193" s="41">
        <f>Summary!$E25</f>
        <v>0.75871978620393</v>
      </c>
      <c r="T193" s="41" t="str">
        <f>Summary!$E26</f>
        <v>**</v>
      </c>
      <c r="U193" s="41" t="str">
        <f>Summary!$F18</f>
        <v>**</v>
      </c>
      <c r="V193" s="41">
        <f>Summary!$F19</f>
        <v>0.2618382265509695</v>
      </c>
      <c r="W193" s="41">
        <f>Summary!$F20</f>
        <v>1.5207697351410578</v>
      </c>
      <c r="X193" s="41">
        <f>Summary!$F21</f>
        <v>0.7505049711304745</v>
      </c>
      <c r="Y193" s="41">
        <f>Summary!$F22</f>
        <v>0.8500331737922543</v>
      </c>
      <c r="Z193" s="41">
        <f>Summary!$F23</f>
        <v>1.0357685057355281</v>
      </c>
      <c r="AA193" s="41">
        <f>Summary!$F24</f>
        <v>1.2965699493042822</v>
      </c>
      <c r="AB193" s="41" t="str">
        <f>Summary!$F25</f>
        <v>**</v>
      </c>
      <c r="AC193" s="41" t="str">
        <f>Summary!$F26</f>
        <v>**</v>
      </c>
      <c r="AD193" s="41" t="str">
        <f>Summary!$G18</f>
        <v>*</v>
      </c>
      <c r="AE193" s="41" t="str">
        <f>Summary!$G19</f>
        <v>*</v>
      </c>
      <c r="AF193" s="41" t="str">
        <f>Summary!$G20</f>
        <v>*</v>
      </c>
      <c r="AG193" s="41" t="str">
        <f>Summary!$G21</f>
        <v>*</v>
      </c>
      <c r="AH193" s="41" t="str">
        <f>Summary!$G22</f>
        <v>*</v>
      </c>
      <c r="AI193" s="41" t="str">
        <f>Summary!$G23</f>
        <v>*</v>
      </c>
      <c r="AJ193" s="41" t="str">
        <f>Summary!$G24</f>
        <v>*</v>
      </c>
      <c r="AK193" s="41" t="str">
        <f>Summary!$G25</f>
        <v>*</v>
      </c>
      <c r="AL193" s="41" t="str">
        <f>Summary!$G26</f>
        <v>*</v>
      </c>
      <c r="AM193" s="41" t="str">
        <f>Summary!$H18</f>
        <v>*</v>
      </c>
      <c r="AN193" s="41" t="str">
        <f>Summary!$H19</f>
        <v>*</v>
      </c>
      <c r="AO193" s="41" t="str">
        <f>Summary!$H20</f>
        <v>*</v>
      </c>
      <c r="AP193" s="41" t="str">
        <f>Summary!$H21</f>
        <v>*</v>
      </c>
      <c r="AQ193" s="41" t="str">
        <f>Summary!$H22</f>
        <v>*</v>
      </c>
      <c r="AR193" s="41" t="str">
        <f>Summary!$H23</f>
        <v>*</v>
      </c>
      <c r="AS193" s="41" t="str">
        <f>Summary!$H24</f>
        <v>*</v>
      </c>
      <c r="AT193" s="41" t="str">
        <f>Summary!$H25</f>
        <v>*</v>
      </c>
      <c r="AU193" s="41" t="str">
        <f>Summary!$H26</f>
        <v>*</v>
      </c>
      <c r="AV193" s="41" t="str">
        <f>Summary!$I18</f>
        <v>**</v>
      </c>
      <c r="AW193" s="41">
        <f>Summary!$I19</f>
        <v>1.7477387644051643</v>
      </c>
      <c r="AX193" s="41">
        <f>Summary!$I20</f>
        <v>1.4950559242381742</v>
      </c>
      <c r="AY193" s="41">
        <f>Summary!$I21</f>
        <v>0.6461584910398488</v>
      </c>
      <c r="AZ193" s="41">
        <f>Summary!$I22</f>
        <v>0.7531601587302315</v>
      </c>
      <c r="BA193" s="41">
        <f>Summary!$I23</f>
        <v>0.8776684990661904</v>
      </c>
      <c r="BB193" s="41">
        <f>Summary!$I24</f>
        <v>0.9847610643497149</v>
      </c>
      <c r="BC193" s="41">
        <f>Summary!$I25</f>
        <v>0.944998575092619</v>
      </c>
      <c r="BD193" s="41" t="str">
        <f>Summary!$I26</f>
        <v>**</v>
      </c>
      <c r="BE193" s="41" t="str">
        <f>Summary!$J18</f>
        <v>**</v>
      </c>
      <c r="BF193" s="41">
        <f>Summary!$J19</f>
        <v>1.870450622499963</v>
      </c>
      <c r="BG193" s="41">
        <f>Summary!$J20</f>
        <v>0.8714762050684973</v>
      </c>
      <c r="BH193" s="41">
        <f>Summary!$J21</f>
        <v>1.6285199787701874</v>
      </c>
      <c r="BI193" s="41">
        <f>Summary!$J22</f>
        <v>1.0365540183698054</v>
      </c>
      <c r="BJ193" s="41">
        <f>Summary!$J23</f>
        <v>1.2856495484004578</v>
      </c>
      <c r="BK193" s="41">
        <f>Summary!$J24</f>
        <v>0.7863896678199586</v>
      </c>
      <c r="BL193" s="41">
        <f>Summary!$J25</f>
        <v>1.7209274999020798</v>
      </c>
      <c r="BM193" s="41" t="str">
        <f>Summary!$J26</f>
        <v>**</v>
      </c>
    </row>
    <row r="194" ht="15">
      <c r="A194" s="143" t="s">
        <v>184</v>
      </c>
    </row>
  </sheetData>
  <mergeCells count="3">
    <mergeCell ref="A31:D31"/>
    <mergeCell ref="G31:J31"/>
    <mergeCell ref="A32:B32"/>
  </mergeCells>
  <printOptions/>
  <pageMargins left="0.7" right="0.7" top="0.75" bottom="0.75" header="0.3" footer="0.3"/>
  <pageSetup horizontalDpi="600" verticalDpi="600" orientation="portrait"/>
  <rowBreaks count="1" manualBreakCount="1">
    <brk id="138" max="255" man="1"/>
  </rowBreaks>
  <drawing r:id="rId1"/>
</worksheet>
</file>

<file path=xl/worksheets/sheet14.xml><?xml version="1.0" encoding="utf-8"?>
<worksheet xmlns="http://schemas.openxmlformats.org/spreadsheetml/2006/main" xmlns:r="http://schemas.openxmlformats.org/officeDocument/2006/relationships">
  <dimension ref="B1:M27"/>
  <sheetViews>
    <sheetView showGridLines="0" workbookViewId="0" topLeftCell="A1">
      <selection activeCell="Q14" sqref="Q14"/>
    </sheetView>
  </sheetViews>
  <sheetFormatPr defaultColWidth="9.140625" defaultRowHeight="15"/>
  <cols>
    <col min="1" max="1" width="3.421875" style="0" customWidth="1"/>
    <col min="2" max="2" width="14.57421875" style="0" customWidth="1"/>
    <col min="4" max="4" width="8.28125" style="0" customWidth="1"/>
    <col min="8" max="8" width="6.28125" style="0" customWidth="1"/>
    <col min="9" max="13" width="8.8515625" style="102" customWidth="1"/>
  </cols>
  <sheetData>
    <row r="1" ht="18.75">
      <c r="B1" s="149" t="s">
        <v>163</v>
      </c>
    </row>
    <row r="3" spans="4:9" ht="15">
      <c r="D3" t="s">
        <v>173</v>
      </c>
      <c r="I3" s="102" t="str">
        <f>'Data Entry'!A3</f>
        <v>County : Statewide</v>
      </c>
    </row>
    <row r="4" ht="15">
      <c r="B4" t="s">
        <v>216</v>
      </c>
    </row>
    <row r="5" spans="2:13" s="160" customFormat="1" ht="30">
      <c r="B5" s="160" t="s">
        <v>73</v>
      </c>
      <c r="C5" s="47" t="s">
        <v>28</v>
      </c>
      <c r="D5" s="47" t="s">
        <v>91</v>
      </c>
      <c r="E5" s="47" t="s">
        <v>237</v>
      </c>
      <c r="F5" s="47" t="s">
        <v>132</v>
      </c>
      <c r="G5" s="47" t="s">
        <v>10</v>
      </c>
      <c r="H5" s="47"/>
      <c r="I5" s="47" t="s">
        <v>28</v>
      </c>
      <c r="J5" s="47" t="s">
        <v>91</v>
      </c>
      <c r="K5" s="47" t="s">
        <v>237</v>
      </c>
      <c r="L5" s="47" t="s">
        <v>132</v>
      </c>
      <c r="M5" s="47" t="s">
        <v>235</v>
      </c>
    </row>
    <row r="6" spans="2:13" ht="15">
      <c r="B6" t="s">
        <v>139</v>
      </c>
      <c r="C6">
        <v>50.1</v>
      </c>
      <c r="D6">
        <v>84.6</v>
      </c>
      <c r="E6">
        <v>107.5</v>
      </c>
      <c r="F6">
        <v>51.4</v>
      </c>
      <c r="G6">
        <v>12</v>
      </c>
      <c r="I6" s="102">
        <f>Summary!C5</f>
        <v>0</v>
      </c>
      <c r="J6" s="102">
        <f>Summary!J5</f>
        <v>0</v>
      </c>
      <c r="K6" s="102">
        <f>Summary!D5</f>
        <v>0</v>
      </c>
      <c r="L6" s="102">
        <f>Summary!H5</f>
        <v>0</v>
      </c>
      <c r="M6" s="102">
        <f>Summary!F5</f>
        <v>0</v>
      </c>
    </row>
    <row r="7" spans="2:13" ht="15">
      <c r="B7" t="s">
        <v>169</v>
      </c>
      <c r="C7">
        <v>82</v>
      </c>
      <c r="D7">
        <v>95.5</v>
      </c>
      <c r="E7">
        <v>94.3</v>
      </c>
      <c r="F7">
        <v>102</v>
      </c>
      <c r="G7">
        <v>124.3</v>
      </c>
      <c r="I7" s="102">
        <f>Summary!C6</f>
        <v>38.669297484642634</v>
      </c>
      <c r="J7" s="102">
        <f>Summary!J6</f>
        <v>72.32901155178607</v>
      </c>
      <c r="K7" s="102">
        <f>Summary!D6</f>
        <v>105.89121109792826</v>
      </c>
      <c r="L7" s="102">
        <f>Summary!H6</f>
        <v>14.783023366714353</v>
      </c>
      <c r="M7" s="102">
        <f>Summary!F6</f>
        <v>10.125100275350693</v>
      </c>
    </row>
    <row r="8" spans="2:13" ht="15">
      <c r="B8" t="s">
        <v>90</v>
      </c>
      <c r="C8">
        <v>28.3</v>
      </c>
      <c r="D8">
        <v>20.9</v>
      </c>
      <c r="E8">
        <v>20.7</v>
      </c>
      <c r="F8">
        <v>23.4</v>
      </c>
      <c r="G8">
        <v>24.5</v>
      </c>
      <c r="I8" s="102">
        <f>Summary!C7</f>
        <v>16.051828452106868</v>
      </c>
      <c r="J8" s="102">
        <f>Summary!J7</f>
        <v>13.988786543852624</v>
      </c>
      <c r="K8" s="102">
        <f>Summary!D7</f>
        <v>12.518853695324285</v>
      </c>
      <c r="L8" s="102">
        <f>Summary!H7</f>
        <v>16.129032258064516</v>
      </c>
      <c r="M8" s="102">
        <f>Summary!F7</f>
        <v>24.411134903640257</v>
      </c>
    </row>
    <row r="9" spans="2:13" ht="15">
      <c r="B9" t="s">
        <v>215</v>
      </c>
      <c r="C9">
        <v>19.3</v>
      </c>
      <c r="D9">
        <v>26.4</v>
      </c>
      <c r="E9">
        <v>26.7</v>
      </c>
      <c r="F9">
        <v>23.1</v>
      </c>
      <c r="G9">
        <v>23.4</v>
      </c>
      <c r="I9" s="102">
        <f>Summary!C8</f>
        <v>12.83932109011083</v>
      </c>
      <c r="J9" s="102">
        <f>Summary!J8</f>
        <v>20.90909090909091</v>
      </c>
      <c r="K9" s="102">
        <f>Summary!D8</f>
        <v>23.249299719887958</v>
      </c>
      <c r="L9" s="102">
        <f>Summary!H8</f>
        <v>6.451612903225807</v>
      </c>
      <c r="M9" s="102">
        <f>Summary!F8</f>
        <v>9.635974304068522</v>
      </c>
    </row>
    <row r="10" spans="2:13" ht="15">
      <c r="B10" t="s">
        <v>18</v>
      </c>
      <c r="C10">
        <v>53.3</v>
      </c>
      <c r="D10">
        <v>59.6</v>
      </c>
      <c r="E10">
        <v>59.6</v>
      </c>
      <c r="F10">
        <v>59.6</v>
      </c>
      <c r="G10">
        <v>58.6</v>
      </c>
      <c r="I10" s="102">
        <f>Summary!C9</f>
        <v>66.25261016223162</v>
      </c>
      <c r="J10" s="102">
        <f>Summary!J9</f>
        <v>68.67440929114939</v>
      </c>
      <c r="K10" s="102">
        <f>Summary!D9</f>
        <v>70.94376212023272</v>
      </c>
      <c r="L10" s="102">
        <f>Summary!H9</f>
        <v>64.51612903225806</v>
      </c>
      <c r="M10" s="102">
        <f>Summary!F9</f>
        <v>56.3169164882227</v>
      </c>
    </row>
    <row r="11" spans="2:13" ht="15">
      <c r="B11" t="s">
        <v>231</v>
      </c>
      <c r="C11">
        <v>65.1</v>
      </c>
      <c r="D11">
        <v>60.6</v>
      </c>
      <c r="E11">
        <v>60</v>
      </c>
      <c r="F11">
        <v>70.8</v>
      </c>
      <c r="G11">
        <v>63.8</v>
      </c>
      <c r="I11" s="102">
        <f>Summary!C10</f>
        <v>26.798125101018265</v>
      </c>
      <c r="J11" s="102">
        <f>Summary!J10</f>
        <v>34.452997434103104</v>
      </c>
      <c r="K11" s="102">
        <f>Summary!D10</f>
        <v>35.216400911161735</v>
      </c>
      <c r="L11" s="102">
        <f>Summary!H10</f>
        <v>20</v>
      </c>
      <c r="M11" s="102">
        <f>Summary!F10</f>
        <v>27.75665399239544</v>
      </c>
    </row>
    <row r="12" spans="2:13" ht="15">
      <c r="B12" t="s">
        <v>23</v>
      </c>
      <c r="C12">
        <v>58.7</v>
      </c>
      <c r="D12">
        <v>51</v>
      </c>
      <c r="E12">
        <v>50.5</v>
      </c>
      <c r="F12">
        <v>54.7</v>
      </c>
      <c r="G12">
        <v>59.1</v>
      </c>
      <c r="I12" s="102">
        <f>Summary!C11</f>
        <v>61.27864897466828</v>
      </c>
      <c r="J12" s="102">
        <f>Summary!J11</f>
        <v>48.18889641164523</v>
      </c>
      <c r="K12" s="102">
        <f>Summary!D11</f>
        <v>46.01121172919362</v>
      </c>
      <c r="L12" s="102">
        <f>Summary!H11</f>
        <v>125</v>
      </c>
      <c r="M12" s="102">
        <f>Summary!F11</f>
        <v>79.45205479452055</v>
      </c>
    </row>
    <row r="13" spans="2:13" ht="15">
      <c r="B13" t="s">
        <v>202</v>
      </c>
      <c r="C13">
        <v>23.1</v>
      </c>
      <c r="D13">
        <v>29.1</v>
      </c>
      <c r="E13">
        <v>29.4</v>
      </c>
      <c r="F13">
        <v>28.8</v>
      </c>
      <c r="G13">
        <v>23.6</v>
      </c>
      <c r="I13" s="102">
        <f>Summary!C12</f>
        <v>3.6489746682750304</v>
      </c>
      <c r="J13" s="102">
        <f>Summary!J12</f>
        <v>6.279620853080569</v>
      </c>
      <c r="K13" s="102">
        <f>Summary!D12</f>
        <v>7.222940922811556</v>
      </c>
      <c r="L13" s="102">
        <f>Summary!H12</f>
        <v>0</v>
      </c>
      <c r="M13" s="102">
        <f>Summary!F12</f>
        <v>1.36986301369863</v>
      </c>
    </row>
    <row r="14" spans="2:13" ht="15">
      <c r="B14" t="s">
        <v>16</v>
      </c>
      <c r="C14">
        <v>0.9</v>
      </c>
      <c r="D14">
        <v>1</v>
      </c>
      <c r="E14">
        <v>1</v>
      </c>
      <c r="F14">
        <v>1.6</v>
      </c>
      <c r="G14">
        <v>0.6</v>
      </c>
      <c r="I14" s="102">
        <f>Summary!C13</f>
        <v>0</v>
      </c>
      <c r="J14" s="102">
        <f>Summary!J13</f>
        <v>0</v>
      </c>
      <c r="K14" s="102">
        <f>Summary!D13</f>
        <v>0</v>
      </c>
      <c r="L14" s="102">
        <f>Summary!H13</f>
        <v>0</v>
      </c>
      <c r="M14" s="102">
        <f>Summary!F13</f>
        <v>0</v>
      </c>
    </row>
    <row r="16" spans="4:9" ht="15">
      <c r="D16" t="str">
        <f>D3</f>
        <v>2007 National DMC Data</v>
      </c>
      <c r="I16" s="102" t="str">
        <f>I3</f>
        <v>County : Statewide</v>
      </c>
    </row>
    <row r="17" ht="15">
      <c r="B17" t="s">
        <v>29</v>
      </c>
    </row>
    <row r="18" spans="2:13" s="160" customFormat="1" ht="30">
      <c r="B18" s="160" t="s">
        <v>209</v>
      </c>
      <c r="D18" s="47" t="s">
        <v>91</v>
      </c>
      <c r="E18" s="47" t="s">
        <v>237</v>
      </c>
      <c r="F18" s="47" t="s">
        <v>132</v>
      </c>
      <c r="G18" s="47" t="s">
        <v>10</v>
      </c>
      <c r="H18" s="47"/>
      <c r="I18" s="47"/>
      <c r="J18" s="47" t="s">
        <v>91</v>
      </c>
      <c r="K18" s="47" t="s">
        <v>237</v>
      </c>
      <c r="L18" s="47" t="s">
        <v>132</v>
      </c>
      <c r="M18" s="47" t="s">
        <v>235</v>
      </c>
    </row>
    <row r="19" spans="2:13" ht="15">
      <c r="B19" t="s">
        <v>139</v>
      </c>
      <c r="D19">
        <v>1.7</v>
      </c>
      <c r="E19">
        <v>2.1</v>
      </c>
      <c r="F19">
        <v>1</v>
      </c>
      <c r="G19">
        <v>0.2</v>
      </c>
      <c r="J19" s="102" t="str">
        <f>Summary!J18</f>
        <v>**</v>
      </c>
      <c r="K19" s="102" t="str">
        <f>Summary!D18</f>
        <v>**</v>
      </c>
      <c r="L19" s="102" t="str">
        <f>Summary!H18</f>
        <v>*</v>
      </c>
      <c r="M19" s="102" t="str">
        <f>Summary!F18</f>
        <v>**</v>
      </c>
    </row>
    <row r="20" spans="2:13" ht="15">
      <c r="B20" t="s">
        <v>169</v>
      </c>
      <c r="D20">
        <v>1.2</v>
      </c>
      <c r="E20">
        <v>1.2</v>
      </c>
      <c r="F20">
        <v>1.2</v>
      </c>
      <c r="G20">
        <v>1.5</v>
      </c>
      <c r="J20" s="102">
        <f>Summary!J19</f>
        <v>1.870450622499963</v>
      </c>
      <c r="K20" s="102">
        <f>Summary!D19</f>
        <v>2.7383794893088647</v>
      </c>
      <c r="L20" s="102" t="str">
        <f>Summary!H19</f>
        <v>*</v>
      </c>
      <c r="M20" s="102">
        <f>Summary!F19</f>
        <v>0.2618382265509695</v>
      </c>
    </row>
    <row r="21" spans="2:13" ht="15">
      <c r="B21" t="s">
        <v>90</v>
      </c>
      <c r="D21">
        <v>0.7</v>
      </c>
      <c r="E21">
        <v>0.7</v>
      </c>
      <c r="F21">
        <v>0.8</v>
      </c>
      <c r="G21">
        <v>0.9</v>
      </c>
      <c r="J21" s="102">
        <f>Summary!J20</f>
        <v>0.8714762050684973</v>
      </c>
      <c r="K21" s="102">
        <f>Summary!D20</f>
        <v>0.7799020362494052</v>
      </c>
      <c r="L21" s="102" t="str">
        <f>Summary!H20</f>
        <v>*</v>
      </c>
      <c r="M21" s="102">
        <f>Summary!F20</f>
        <v>1.5207697351410578</v>
      </c>
    </row>
    <row r="22" spans="2:13" ht="15">
      <c r="B22" t="s">
        <v>215</v>
      </c>
      <c r="D22">
        <v>1.4</v>
      </c>
      <c r="E22">
        <v>1.4</v>
      </c>
      <c r="F22">
        <v>1.2</v>
      </c>
      <c r="G22">
        <v>1.2</v>
      </c>
      <c r="J22" s="102">
        <f>Summary!J21</f>
        <v>1.6285199787701874</v>
      </c>
      <c r="K22" s="102">
        <f>Summary!D21</f>
        <v>1.8107888693425664</v>
      </c>
      <c r="L22" s="102" t="str">
        <f>Summary!H21</f>
        <v>*</v>
      </c>
      <c r="M22" s="102">
        <f>Summary!F21</f>
        <v>0.7505049711304745</v>
      </c>
    </row>
    <row r="23" spans="2:13" ht="15">
      <c r="B23" t="s">
        <v>18</v>
      </c>
      <c r="D23">
        <v>1.1</v>
      </c>
      <c r="E23">
        <v>1.1</v>
      </c>
      <c r="F23">
        <v>1.1</v>
      </c>
      <c r="G23">
        <v>1.1</v>
      </c>
      <c r="J23" s="102">
        <f>Summary!J22</f>
        <v>1.0365540183698054</v>
      </c>
      <c r="K23" s="102">
        <f>Summary!D22</f>
        <v>1.0708070511714778</v>
      </c>
      <c r="L23" s="102" t="str">
        <f>Summary!H22</f>
        <v>*</v>
      </c>
      <c r="M23" s="102">
        <f>Summary!F22</f>
        <v>0.8500331737922543</v>
      </c>
    </row>
    <row r="24" spans="2:13" ht="15">
      <c r="B24" t="s">
        <v>231</v>
      </c>
      <c r="D24">
        <v>0.9</v>
      </c>
      <c r="E24">
        <v>0.9</v>
      </c>
      <c r="F24">
        <v>1.1</v>
      </c>
      <c r="G24">
        <v>1</v>
      </c>
      <c r="J24" s="102">
        <f>Summary!J23</f>
        <v>1.2856495484004578</v>
      </c>
      <c r="K24" s="102">
        <f>Summary!D23</f>
        <v>1.3141367457017952</v>
      </c>
      <c r="L24" s="102" t="str">
        <f>Summary!H23</f>
        <v>*</v>
      </c>
      <c r="M24" s="102">
        <f>Summary!F23</f>
        <v>1.0357685057355281</v>
      </c>
    </row>
    <row r="25" spans="2:13" ht="15">
      <c r="B25" t="s">
        <v>23</v>
      </c>
      <c r="D25">
        <v>0.9</v>
      </c>
      <c r="E25">
        <v>0.9</v>
      </c>
      <c r="F25">
        <v>0.9</v>
      </c>
      <c r="G25">
        <v>1</v>
      </c>
      <c r="J25" s="102">
        <f>Summary!J24</f>
        <v>0.7863896678199586</v>
      </c>
      <c r="K25" s="102">
        <f>Summary!D24</f>
        <v>0.750852254399636</v>
      </c>
      <c r="L25" s="102" t="str">
        <f>Summary!H24</f>
        <v>*</v>
      </c>
      <c r="M25" s="102">
        <f>Summary!F24</f>
        <v>1.2965699493042822</v>
      </c>
    </row>
    <row r="26" spans="2:13" ht="15">
      <c r="B26" t="s">
        <v>202</v>
      </c>
      <c r="D26">
        <v>1.3</v>
      </c>
      <c r="E26">
        <v>1.3</v>
      </c>
      <c r="F26">
        <v>1.2</v>
      </c>
      <c r="G26">
        <v>1</v>
      </c>
      <c r="J26" s="102">
        <f>Summary!J25</f>
        <v>1.7209274999020798</v>
      </c>
      <c r="K26" s="102">
        <f>Summary!D25</f>
        <v>1.9794439752101751</v>
      </c>
      <c r="L26" s="102" t="str">
        <f>Summary!H25</f>
        <v>*</v>
      </c>
      <c r="M26" s="102" t="str">
        <f>Summary!F25</f>
        <v>**</v>
      </c>
    </row>
    <row r="27" spans="2:13" ht="15">
      <c r="B27" t="s">
        <v>16</v>
      </c>
      <c r="D27">
        <v>1.1</v>
      </c>
      <c r="E27">
        <v>1.1</v>
      </c>
      <c r="F27">
        <v>1.8</v>
      </c>
      <c r="G27">
        <v>0.7</v>
      </c>
      <c r="J27" s="102" t="str">
        <f>Summary!J26</f>
        <v>**</v>
      </c>
      <c r="K27" s="102" t="str">
        <f>Summary!D26</f>
        <v>**</v>
      </c>
      <c r="L27" s="102" t="str">
        <f>Summary!H26</f>
        <v>*</v>
      </c>
      <c r="M27" s="102" t="str">
        <f>Summary!F26</f>
        <v>**</v>
      </c>
    </row>
  </sheetData>
  <mergeCells count="2">
    <mergeCell ref="I16:J16"/>
    <mergeCell ref="I3:J3"/>
  </mergeCells>
  <printOptions/>
  <pageMargins left="0.7" right="0.7" top="0.75" bottom="0.75" header="0.3" footer="0.3"/>
  <pageSetup orientation="landscape"/>
</worksheet>
</file>

<file path=xl/worksheets/sheet15.xml><?xml version="1.0" encoding="utf-8"?>
<worksheet xmlns="http://schemas.openxmlformats.org/spreadsheetml/2006/main" xmlns:r="http://schemas.openxmlformats.org/officeDocument/2006/relationships">
  <dimension ref="A3:J31"/>
  <sheetViews>
    <sheetView showGridLines="0" workbookViewId="0" topLeftCell="A14">
      <selection activeCell="B28" sqref="B28"/>
    </sheetView>
  </sheetViews>
  <sheetFormatPr defaultColWidth="9.140625" defaultRowHeight="15"/>
  <cols>
    <col min="1" max="1" width="33.140625" style="0" customWidth="1"/>
    <col min="2" max="2" width="9.140625" style="118" customWidth="1"/>
  </cols>
  <sheetData>
    <row r="3" ht="18.75">
      <c r="A3" s="44" t="s">
        <v>182</v>
      </c>
    </row>
    <row r="4" spans="1:10" ht="103.5" customHeight="1">
      <c r="A4" s="160" t="s">
        <v>144</v>
      </c>
      <c r="B4" s="160"/>
      <c r="C4" s="160"/>
      <c r="D4" s="160"/>
      <c r="E4" s="160"/>
      <c r="F4" s="160"/>
      <c r="G4" s="160"/>
      <c r="H4" s="160"/>
      <c r="I4" s="160"/>
      <c r="J4" s="160"/>
    </row>
    <row r="6" spans="1:2" ht="18.75">
      <c r="A6" t="s">
        <v>168</v>
      </c>
      <c r="B6" s="114">
        <v>0.05</v>
      </c>
    </row>
    <row r="7" spans="4:6" ht="18.75" hidden="1">
      <c r="D7" s="69">
        <f>IF(B6=0.01,6.636,IF(B6=0.1,2.706,3.841))</f>
        <v>3.841</v>
      </c>
      <c r="E7" s="69" t="s">
        <v>131</v>
      </c>
      <c r="F7" s="69"/>
    </row>
    <row r="8" spans="4:6" ht="18.75">
      <c r="D8" s="69"/>
      <c r="E8" s="69"/>
      <c r="F8" s="69"/>
    </row>
    <row r="9" ht="18.75">
      <c r="A9" s="1" t="s">
        <v>145</v>
      </c>
    </row>
    <row r="10" spans="1:10" ht="85.5" customHeight="1">
      <c r="A10" s="94" t="s">
        <v>22</v>
      </c>
      <c r="B10" s="160"/>
      <c r="C10" s="160"/>
      <c r="D10" s="160"/>
      <c r="E10" s="160"/>
      <c r="F10" s="160"/>
      <c r="G10" s="160"/>
      <c r="H10" s="160"/>
      <c r="I10" s="160"/>
      <c r="J10" s="160"/>
    </row>
    <row r="11" ht="18.75">
      <c r="A11" s="137"/>
    </row>
    <row r="12" spans="1:2" ht="18.75">
      <c r="A12" s="137" t="s">
        <v>150</v>
      </c>
      <c r="B12" s="155">
        <v>5</v>
      </c>
    </row>
    <row r="13" spans="1:2" ht="18.75">
      <c r="A13" s="137" t="s">
        <v>89</v>
      </c>
      <c r="B13" s="155">
        <v>30</v>
      </c>
    </row>
    <row r="14" spans="1:2" ht="18.75">
      <c r="A14" s="137"/>
      <c r="B14" s="27"/>
    </row>
    <row r="15" spans="1:2" ht="18.75">
      <c r="A15" s="137" t="s">
        <v>69</v>
      </c>
      <c r="B15" s="27"/>
    </row>
    <row r="16" spans="1:2" ht="18.75">
      <c r="A16" s="137" t="s">
        <v>157</v>
      </c>
      <c r="B16" s="27"/>
    </row>
    <row r="17" spans="1:2" ht="18.75">
      <c r="A17" s="137" t="s">
        <v>223</v>
      </c>
      <c r="B17" s="27"/>
    </row>
    <row r="18" spans="1:2" ht="18.75">
      <c r="A18" s="137" t="s">
        <v>212</v>
      </c>
      <c r="B18" s="27"/>
    </row>
    <row r="19" spans="1:2" ht="18.75">
      <c r="A19" s="137" t="s">
        <v>178</v>
      </c>
      <c r="B19" s="27"/>
    </row>
    <row r="20" spans="1:2" ht="18.75">
      <c r="A20" s="137" t="s">
        <v>115</v>
      </c>
      <c r="B20" s="27"/>
    </row>
    <row r="21" spans="1:2" ht="18.75">
      <c r="A21" s="137" t="s">
        <v>181</v>
      </c>
      <c r="B21" s="27"/>
    </row>
    <row r="22" spans="1:2" ht="18.75">
      <c r="A22" s="137" t="s">
        <v>59</v>
      </c>
      <c r="B22" s="27"/>
    </row>
    <row r="23" ht="18.75">
      <c r="A23" s="147" t="s">
        <v>210</v>
      </c>
    </row>
    <row r="24" ht="18.75">
      <c r="A24" s="147" t="s">
        <v>201</v>
      </c>
    </row>
    <row r="25" ht="18.75">
      <c r="A25" s="147" t="s">
        <v>143</v>
      </c>
    </row>
    <row r="26" ht="18.75">
      <c r="A26" s="147"/>
    </row>
    <row r="27" spans="1:2" ht="18.75">
      <c r="A27" s="147" t="s">
        <v>197</v>
      </c>
      <c r="B27" s="155">
        <v>2</v>
      </c>
    </row>
    <row r="28" ht="18.75">
      <c r="A28" s="147"/>
    </row>
    <row r="29" ht="18.75">
      <c r="A29" s="147"/>
    </row>
    <row r="30" ht="18.75">
      <c r="A30" s="147"/>
    </row>
    <row r="31" spans="1:3" ht="18.75">
      <c r="A31" t="str">
        <f>'Data Entry'!A17</f>
        <v>release date: March, 2011</v>
      </c>
      <c r="C31" s="147"/>
    </row>
  </sheetData>
  <mergeCells count="2">
    <mergeCell ref="A10:J10"/>
    <mergeCell ref="A4:J4"/>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B1:Z83"/>
  <sheetViews>
    <sheetView showGridLines="0" showRowColHeaders="0" zoomScale="95" zoomScaleNormal="95" workbookViewId="0" topLeftCell="A1">
      <selection activeCell="A1" sqref="A1"/>
    </sheetView>
  </sheetViews>
  <sheetFormatPr defaultColWidth="9.140625" defaultRowHeight="15"/>
  <cols>
    <col min="1" max="1" width="2.57421875" style="0" customWidth="1"/>
    <col min="2" max="2" width="45.7109375" style="0" customWidth="1"/>
    <col min="3" max="3" width="10.57421875" style="0" hidden="1" customWidth="1"/>
    <col min="4" max="4" width="15.7109375" style="0" customWidth="1"/>
    <col min="5" max="5" width="15.7109375" style="0" hidden="1" customWidth="1"/>
    <col min="6" max="6" width="16.421875" style="0" customWidth="1"/>
    <col min="7" max="7" width="15.7109375" style="0" customWidth="1"/>
    <col min="8" max="8" width="8.00390625" style="0" hidden="1" customWidth="1"/>
    <col min="9" max="9" width="7.8515625" style="0" hidden="1" customWidth="1"/>
    <col min="10" max="10" width="8.00390625" style="0" hidden="1" customWidth="1"/>
    <col min="11" max="11" width="8.8515625" style="0" hidden="1" customWidth="1"/>
    <col min="12" max="13" width="9.140625" style="0" hidden="1" customWidth="1"/>
    <col min="14" max="14" width="9.8515625" style="49" hidden="1" customWidth="1"/>
    <col min="15" max="15" width="7.8515625" style="49" hidden="1" customWidth="1"/>
    <col min="16" max="16" width="10.00390625" style="49" hidden="1" customWidth="1"/>
    <col min="17" max="17" width="8.8515625" style="49" hidden="1" customWidth="1"/>
    <col min="18" max="19" width="9.140625" style="0" hidden="1" customWidth="1"/>
    <col min="20" max="21" width="8.8515625" style="0" hidden="1" customWidth="1"/>
    <col min="22" max="40" width="8.8515625" style="0" customWidth="1"/>
  </cols>
  <sheetData>
    <row r="1" spans="2:26" ht="27.75" customHeight="1">
      <c r="B1" s="38" t="s">
        <v>218</v>
      </c>
      <c r="F1" s="120" t="s">
        <v>126</v>
      </c>
      <c r="G1" s="122" t="str">
        <f>'Data Entry'!C5</f>
        <v>White</v>
      </c>
      <c r="H1" s="47"/>
      <c r="I1" s="47"/>
      <c r="J1" s="47"/>
      <c r="K1" s="160"/>
      <c r="N1" s="162"/>
      <c r="O1" s="162"/>
      <c r="P1" s="162"/>
      <c r="Q1" s="162"/>
      <c r="R1" s="56" t="s">
        <v>200</v>
      </c>
      <c r="S1" s="56"/>
      <c r="T1" s="56"/>
      <c r="U1" s="56"/>
      <c r="W1" s="32"/>
      <c r="X1" s="32"/>
      <c r="Y1" s="32"/>
      <c r="Z1" s="32"/>
    </row>
    <row r="2" spans="2:26" ht="15">
      <c r="B2" s="164" t="str">
        <f>'Data Entry'!A2</f>
        <v>State : Virginia</v>
      </c>
      <c r="C2" s="135" t="str">
        <f>'Data Entry'!C3</f>
        <v> Reporting Period  7/1/2012</v>
      </c>
      <c r="D2" s="119"/>
      <c r="H2" s="32"/>
      <c r="I2" s="32"/>
      <c r="N2" s="166" t="s">
        <v>42</v>
      </c>
      <c r="O2" s="160"/>
      <c r="P2" s="160"/>
      <c r="Q2" s="160"/>
      <c r="R2" s="56"/>
      <c r="S2" s="56"/>
      <c r="T2" s="56"/>
      <c r="U2" s="56"/>
      <c r="W2" s="32"/>
      <c r="X2" s="32"/>
      <c r="Y2" s="32"/>
      <c r="Z2" s="32"/>
    </row>
    <row r="3" spans="2:21" ht="13.5" customHeight="1">
      <c r="B3" s="164" t="str">
        <f>'Data Entry'!A3</f>
        <v>County : Statewide</v>
      </c>
      <c r="C3" s="85" t="str">
        <f>'Data Entry'!C4</f>
        <v>through  6/30/2013</v>
      </c>
      <c r="D3" s="119"/>
      <c r="E3" s="102"/>
      <c r="F3" s="48" t="s">
        <v>197</v>
      </c>
      <c r="G3" s="48" t="str">
        <f>'Data Entry'!$K$5</f>
        <v>White</v>
      </c>
      <c r="H3" s="33"/>
      <c r="I3" s="33"/>
      <c r="J3" s="33"/>
      <c r="K3" s="33"/>
      <c r="N3" s="160"/>
      <c r="O3" s="160"/>
      <c r="P3" s="160"/>
      <c r="Q3" s="160"/>
      <c r="R3" s="56"/>
      <c r="S3" s="56"/>
      <c r="T3" s="56"/>
      <c r="U3" s="56"/>
    </row>
    <row r="4" spans="2:21" ht="8.25" customHeight="1">
      <c r="B4" s="130"/>
      <c r="C4" s="154"/>
      <c r="D4" s="154"/>
      <c r="E4" s="154"/>
      <c r="F4" s="154"/>
      <c r="G4" s="66"/>
      <c r="H4" s="66"/>
      <c r="I4" s="66"/>
      <c r="J4" s="8"/>
      <c r="K4" s="8"/>
      <c r="N4" s="160"/>
      <c r="O4" s="160"/>
      <c r="P4" s="160"/>
      <c r="Q4" s="160"/>
      <c r="R4" s="56"/>
      <c r="S4" s="56"/>
      <c r="T4" s="56"/>
      <c r="U4" s="56"/>
    </row>
    <row r="5" spans="2:21" ht="66.75" customHeight="1" thickBot="1">
      <c r="B5" s="107" t="s">
        <v>1</v>
      </c>
      <c r="C5" s="20" t="s">
        <v>236</v>
      </c>
      <c r="D5" s="161" t="s">
        <v>189</v>
      </c>
      <c r="E5" s="20" t="s">
        <v>148</v>
      </c>
      <c r="F5" s="20" t="s">
        <v>136</v>
      </c>
      <c r="G5" s="93" t="s">
        <v>98</v>
      </c>
      <c r="H5" s="80"/>
      <c r="I5" s="80"/>
      <c r="J5" s="108" t="s">
        <v>191</v>
      </c>
      <c r="K5" s="73" t="s">
        <v>154</v>
      </c>
      <c r="L5" s="160" t="s">
        <v>70</v>
      </c>
      <c r="M5" s="160" t="s">
        <v>203</v>
      </c>
      <c r="N5" s="153" t="s">
        <v>107</v>
      </c>
      <c r="O5" s="162" t="s">
        <v>125</v>
      </c>
      <c r="P5" s="162" t="s">
        <v>213</v>
      </c>
      <c r="Q5" s="162" t="s">
        <v>227</v>
      </c>
      <c r="R5" t="s">
        <v>32</v>
      </c>
      <c r="S5" s="160" t="s">
        <v>63</v>
      </c>
      <c r="T5" t="s">
        <v>226</v>
      </c>
      <c r="U5" t="s">
        <v>127</v>
      </c>
    </row>
    <row r="6" spans="2:17" ht="20.25" customHeight="1" thickBot="1">
      <c r="B6" s="115" t="str">
        <f>'Data Entry'!A6</f>
        <v>1. Population at risk (age 10  through 17 ) </v>
      </c>
      <c r="C6" s="159">
        <f>'Data Entry'!K6</f>
        <v>482993</v>
      </c>
      <c r="D6" s="156"/>
      <c r="E6" s="159">
        <f>'Data Entry'!C6</f>
        <v>482993</v>
      </c>
      <c r="F6" s="156"/>
      <c r="G6" s="84"/>
      <c r="H6" s="16"/>
      <c r="I6" s="78"/>
      <c r="J6" s="57"/>
      <c r="K6" s="127"/>
      <c r="L6">
        <f>IF(('Data Entry'!C6&gt;('Data Entry'!B6/100)),1,100)</f>
        <v>1</v>
      </c>
      <c r="M6" t="s">
        <v>81</v>
      </c>
      <c r="N6" s="162"/>
      <c r="O6" s="162"/>
      <c r="P6" s="162"/>
      <c r="Q6" s="162"/>
    </row>
    <row r="7" spans="2:21" ht="18" customHeight="1" thickBot="1">
      <c r="B7" s="115" t="str">
        <f>'Data Entry'!A7</f>
        <v>2. Juvenile Arrests </v>
      </c>
      <c r="C7" s="159">
        <f>'Data Entry'!K7</f>
        <v>0</v>
      </c>
      <c r="D7" s="68">
        <f>IF((AND(C66&gt;0,C7&gt;0)),(C7/C66),0)</f>
        <v>0</v>
      </c>
      <c r="E7" s="159">
        <f>'Data Entry'!C7</f>
        <v>0</v>
      </c>
      <c r="F7" s="68">
        <f>IF((AND($E$7&gt;0,$D$66&gt;0)),($E$7/$D$66),0)</f>
        <v>0</v>
      </c>
      <c r="G7" s="138" t="str">
        <f aca="true" t="shared" si="0" ref="G7:G15">IF(L$6=100,"*",IF(M7=FALSE,"--",IF(K7=20,"**",($F7/$D7))))</f>
        <v>**</v>
      </c>
      <c r="H7" s="55"/>
      <c r="I7" s="64"/>
      <c r="J7" s="23">
        <f>IF((ABS($U7)&gt;Defaults!D$7),1,2)</f>
        <v>2</v>
      </c>
      <c r="K7" s="15">
        <f>IF((AND(N7&gt;Defaults!B$12,(N7+O7)&gt;Defaults!B$13,P7&gt;Defaults!B$12,(P7+Q7)&gt;Defaults!B$13)),1,20)</f>
        <v>20</v>
      </c>
      <c r="L7">
        <f aca="true" t="shared" si="1" ref="L7:L15">(J7*K7+L$6)-1</f>
        <v>40</v>
      </c>
      <c r="M7" t="b">
        <f aca="true" t="shared" si="2" ref="M7:M15">(ISNUMBER(J7))</f>
        <v>1</v>
      </c>
      <c r="N7" s="123">
        <f aca="true" t="shared" si="3" ref="N7:N15">E7</f>
        <v>0</v>
      </c>
      <c r="O7" s="123">
        <f>E6-E7</f>
        <v>482993</v>
      </c>
      <c r="P7" s="123">
        <f aca="true" t="shared" si="4" ref="P7:P15">C7</f>
        <v>0</v>
      </c>
      <c r="Q7" s="123">
        <f>C6-C7</f>
        <v>482993</v>
      </c>
      <c r="R7">
        <f>0.05+(D7*(D66))</f>
        <v>0.05</v>
      </c>
      <c r="S7">
        <f aca="true" t="shared" si="5" ref="S7:S15">ROUND(R7-E7,0)</f>
        <v>0</v>
      </c>
      <c r="T7">
        <f aca="true" t="shared" si="6" ref="T7:T15">S7^2</f>
        <v>0</v>
      </c>
      <c r="U7">
        <f aca="true" t="shared" si="7" ref="U7:U15">T7/R7</f>
        <v>0</v>
      </c>
    </row>
    <row r="8" spans="2:21" ht="18" customHeight="1" thickBot="1">
      <c r="B8" s="115" t="str">
        <f>'Data Entry'!A8</f>
        <v>3. Refer to Juvenile Court</v>
      </c>
      <c r="C8" s="159">
        <f>'Data Entry'!K8</f>
        <v>18677</v>
      </c>
      <c r="D8" s="68">
        <f>IF((AND(C67&gt;0,C8&gt;0)),(C8/C67),0)</f>
        <v>38.669297484642634</v>
      </c>
      <c r="E8" s="159">
        <f>'Data Entry'!C8</f>
        <v>18677</v>
      </c>
      <c r="F8" s="68">
        <f>IF((AND($E$8&gt;0,$D$67&gt;0)),($E8/$D67),0)</f>
        <v>38.669297484642634</v>
      </c>
      <c r="G8" s="138">
        <f t="shared" si="0"/>
        <v>1</v>
      </c>
      <c r="H8" s="55"/>
      <c r="I8" s="64"/>
      <c r="J8" s="23">
        <f>IF((ABS($U8)&gt;Defaults!D$7),1,2)</f>
        <v>2</v>
      </c>
      <c r="K8" s="15">
        <f>IF((AND(N8&gt;Defaults!B$12,(N8+O8)&gt;Defaults!B$13,P8&gt;Defaults!B$12,(P8+Q8)&gt;Defaults!B$13)),1,20)</f>
        <v>1</v>
      </c>
      <c r="L8">
        <f t="shared" si="1"/>
        <v>2</v>
      </c>
      <c r="M8" t="b">
        <f t="shared" si="2"/>
        <v>1</v>
      </c>
      <c r="N8" s="123">
        <f t="shared" si="3"/>
        <v>18677</v>
      </c>
      <c r="O8" s="123">
        <f>((D67*L67)-E8)+0.05</f>
        <v>464316.05</v>
      </c>
      <c r="P8" s="123">
        <f t="shared" si="4"/>
        <v>18677</v>
      </c>
      <c r="Q8" s="123">
        <f>(C$67*L67)-C8</f>
        <v>464316</v>
      </c>
      <c r="R8">
        <f>D8*D67+0.05</f>
        <v>18677.05</v>
      </c>
      <c r="S8">
        <f t="shared" si="5"/>
        <v>0</v>
      </c>
      <c r="T8">
        <f t="shared" si="6"/>
        <v>0</v>
      </c>
      <c r="U8">
        <f t="shared" si="7"/>
        <v>0</v>
      </c>
    </row>
    <row r="9" spans="2:21" ht="18" customHeight="1" thickBot="1">
      <c r="B9" s="115" t="str">
        <f>'Data Entry'!A9</f>
        <v>4. Cases Diverted </v>
      </c>
      <c r="C9" s="159">
        <f>'Data Entry'!K9</f>
        <v>2998</v>
      </c>
      <c r="D9" s="68">
        <f>IF((AND(C68&gt;0,C9&gt;0)),((C9/C68)),0)</f>
        <v>16.051828452106868</v>
      </c>
      <c r="E9" s="159">
        <f>'Data Entry'!C9</f>
        <v>2998</v>
      </c>
      <c r="F9" s="68">
        <f>IF((AND($E$9&gt;0,$D$68&gt;0)),(($E$9/$D$68)),0)</f>
        <v>16.051828452106868</v>
      </c>
      <c r="G9" s="138">
        <f t="shared" si="0"/>
        <v>1</v>
      </c>
      <c r="H9" s="55"/>
      <c r="I9" s="64"/>
      <c r="J9" s="23">
        <f>IF((ABS($U9)&gt;Defaults!D$7),1,2)</f>
        <v>2</v>
      </c>
      <c r="K9" s="15">
        <f>IF((AND(N9&gt;Defaults!B$12,(N9+O9)&gt;Defaults!B$13,P9&gt;Defaults!B$12,(P9+Q9)&gt;Defaults!B$13)),1,20)</f>
        <v>1</v>
      </c>
      <c r="L9">
        <f t="shared" si="1"/>
        <v>2</v>
      </c>
      <c r="M9" t="b">
        <f t="shared" si="2"/>
        <v>1</v>
      </c>
      <c r="N9" s="123">
        <f t="shared" si="3"/>
        <v>2998</v>
      </c>
      <c r="O9" s="123">
        <f>(D$68*L68)-E9</f>
        <v>15679</v>
      </c>
      <c r="P9" s="123">
        <f t="shared" si="4"/>
        <v>2998</v>
      </c>
      <c r="Q9" s="123">
        <f>(C$68*L68)-C9</f>
        <v>15679</v>
      </c>
      <c r="R9">
        <f>D9*D68+0.05</f>
        <v>2998.05</v>
      </c>
      <c r="S9">
        <f t="shared" si="5"/>
        <v>0</v>
      </c>
      <c r="T9">
        <f t="shared" si="6"/>
        <v>0</v>
      </c>
      <c r="U9">
        <f t="shared" si="7"/>
        <v>0</v>
      </c>
    </row>
    <row r="10" spans="2:21" ht="18" customHeight="1" thickBot="1">
      <c r="B10" s="115" t="str">
        <f>'Data Entry'!A10</f>
        <v>5. Cases Involving Secure Detention</v>
      </c>
      <c r="C10" s="159">
        <f>'Data Entry'!K10</f>
        <v>2398</v>
      </c>
      <c r="D10" s="68">
        <f>IF(((AND(C68&gt;0,C10&gt;0))),(C10/(C68)),0)</f>
        <v>12.83932109011083</v>
      </c>
      <c r="E10" s="159">
        <f>'Data Entry'!C10</f>
        <v>2398</v>
      </c>
      <c r="F10" s="68">
        <f>IF(((AND($E$10&gt;0,$D$68&gt;0))),($E$10/($D$68)),0)</f>
        <v>12.83932109011083</v>
      </c>
      <c r="G10" s="138">
        <f t="shared" si="0"/>
        <v>1</v>
      </c>
      <c r="H10" s="55"/>
      <c r="I10" s="64"/>
      <c r="J10" s="23">
        <f>IF((ABS($U10)&gt;Defaults!D$7),1,2)</f>
        <v>2</v>
      </c>
      <c r="K10" s="15">
        <f>IF((AND(N10&gt;Defaults!B$12,(N10+O10)&gt;Defaults!B$13,P10&gt;Defaults!B$12,(P10+Q10)&gt;Defaults!B$13)),1,20)</f>
        <v>1</v>
      </c>
      <c r="L10">
        <f t="shared" si="1"/>
        <v>2</v>
      </c>
      <c r="M10" t="b">
        <f t="shared" si="2"/>
        <v>1</v>
      </c>
      <c r="N10" s="123">
        <f t="shared" si="3"/>
        <v>2398</v>
      </c>
      <c r="O10" s="123">
        <f>(D$68*L68)-E10</f>
        <v>16279</v>
      </c>
      <c r="P10" s="123">
        <f t="shared" si="4"/>
        <v>2398</v>
      </c>
      <c r="Q10" s="123">
        <f>(C$68*L68)-C10</f>
        <v>16279</v>
      </c>
      <c r="R10">
        <f>D10*D68+0.05</f>
        <v>2398.05</v>
      </c>
      <c r="S10">
        <f t="shared" si="5"/>
        <v>0</v>
      </c>
      <c r="T10">
        <f t="shared" si="6"/>
        <v>0</v>
      </c>
      <c r="U10">
        <f t="shared" si="7"/>
        <v>0</v>
      </c>
    </row>
    <row r="11" spans="2:21" ht="18" customHeight="1" thickBot="1">
      <c r="B11" s="115" t="str">
        <f>'Data Entry'!A11</f>
        <v>6. Cases Petitioned (Charge Filed)</v>
      </c>
      <c r="C11" s="159">
        <f>'Data Entry'!K11</f>
        <v>12374</v>
      </c>
      <c r="D11" s="68">
        <f>IF(((AND(C68&gt;0,C11&gt;0))),(C11/(C68)),0)</f>
        <v>66.25261016223162</v>
      </c>
      <c r="E11" s="159">
        <f>'Data Entry'!C11</f>
        <v>12374</v>
      </c>
      <c r="F11" s="68">
        <f>IF(((AND($E$11&gt;0,$D$68&gt;0))),($E$11/($D$68)),0)</f>
        <v>66.25261016223162</v>
      </c>
      <c r="G11" s="138">
        <f t="shared" si="0"/>
        <v>1</v>
      </c>
      <c r="H11" s="55"/>
      <c r="I11" s="64"/>
      <c r="J11" s="23">
        <f>IF((ABS($U11)&gt;Defaults!D$7),1,2)</f>
        <v>2</v>
      </c>
      <c r="K11" s="15">
        <f>IF((AND(N11&gt;Defaults!B$12,(N11+O11)&gt;Defaults!B$13,P11&gt;Defaults!B$12,(P11+Q11)&gt;Defaults!B$13)),1,20)</f>
        <v>1</v>
      </c>
      <c r="L11">
        <f t="shared" si="1"/>
        <v>2</v>
      </c>
      <c r="M11" t="b">
        <f t="shared" si="2"/>
        <v>1</v>
      </c>
      <c r="N11" s="123">
        <f t="shared" si="3"/>
        <v>12374</v>
      </c>
      <c r="O11" s="123">
        <f>(D$68*L68)-E11</f>
        <v>6303</v>
      </c>
      <c r="P11" s="123">
        <f t="shared" si="4"/>
        <v>12374</v>
      </c>
      <c r="Q11" s="123">
        <f>(C$68*L68)-C11</f>
        <v>6303</v>
      </c>
      <c r="R11">
        <f>D11*D68+0.05</f>
        <v>12374.05</v>
      </c>
      <c r="S11">
        <f t="shared" si="5"/>
        <v>0</v>
      </c>
      <c r="T11">
        <f t="shared" si="6"/>
        <v>0</v>
      </c>
      <c r="U11">
        <f t="shared" si="7"/>
        <v>0</v>
      </c>
    </row>
    <row r="12" spans="2:21" ht="18" customHeight="1" thickBot="1">
      <c r="B12" s="115" t="str">
        <f>'Data Entry'!A12</f>
        <v>7. Cases Resulting in Delinquent Findings</v>
      </c>
      <c r="C12" s="159">
        <f>'Data Entry'!K12</f>
        <v>3316</v>
      </c>
      <c r="D12" s="68">
        <f>IF(((AND(C69&gt;0,C12&gt;0))),(C12/(C69)),0)</f>
        <v>26.798125101018265</v>
      </c>
      <c r="E12" s="159">
        <f>'Data Entry'!C12</f>
        <v>3316</v>
      </c>
      <c r="F12" s="68">
        <f>IF(((AND($D$69&gt;0,$E$12&gt;0))),(E12/(D69)),0)</f>
        <v>26.798125101018265</v>
      </c>
      <c r="G12" s="138">
        <f t="shared" si="0"/>
        <v>1</v>
      </c>
      <c r="H12" s="55"/>
      <c r="I12" s="64"/>
      <c r="J12" s="23">
        <f>IF((ABS($U12)&gt;Defaults!D$7),1,2)</f>
        <v>2</v>
      </c>
      <c r="K12" s="15">
        <f>IF((AND(N12&gt;Defaults!B$12,(N12+O12)&gt;Defaults!B$13,P12&gt;Defaults!B$12,(P12+Q12)&gt;Defaults!B$13)),1,20)</f>
        <v>1</v>
      </c>
      <c r="L12">
        <f t="shared" si="1"/>
        <v>2</v>
      </c>
      <c r="M12" t="b">
        <f t="shared" si="2"/>
        <v>1</v>
      </c>
      <c r="N12" s="123">
        <f t="shared" si="3"/>
        <v>3316</v>
      </c>
      <c r="O12" s="123">
        <f>(D69*L69)-E12</f>
        <v>9058</v>
      </c>
      <c r="P12" s="123">
        <f t="shared" si="4"/>
        <v>3316</v>
      </c>
      <c r="Q12" s="123">
        <f>(C69*L69)-C12</f>
        <v>9058</v>
      </c>
      <c r="R12">
        <f>D12*D69+0.05</f>
        <v>3316.05</v>
      </c>
      <c r="S12">
        <f t="shared" si="5"/>
        <v>0</v>
      </c>
      <c r="T12">
        <f t="shared" si="6"/>
        <v>0</v>
      </c>
      <c r="U12">
        <f t="shared" si="7"/>
        <v>0</v>
      </c>
    </row>
    <row r="13" spans="2:21" ht="18" customHeight="1" thickBot="1">
      <c r="B13" s="115" t="str">
        <f>'Data Entry'!A13</f>
        <v>8. Cases resulting in Probation Placement</v>
      </c>
      <c r="C13" s="159">
        <f>'Data Entry'!K13</f>
        <v>2032</v>
      </c>
      <c r="D13" s="68">
        <f>IF(((AND(C70&gt;0,C13&gt;0))),(C13/(C70)),0)</f>
        <v>61.27864897466828</v>
      </c>
      <c r="E13" s="159">
        <f>'Data Entry'!C13</f>
        <v>2032</v>
      </c>
      <c r="F13" s="68">
        <f>IF(((AND($D$70&gt;0,$E$13&gt;0))),($E$13/($D$70)),0)</f>
        <v>61.27864897466828</v>
      </c>
      <c r="G13" s="138">
        <f t="shared" si="0"/>
        <v>1</v>
      </c>
      <c r="H13" s="55"/>
      <c r="I13" s="64"/>
      <c r="J13" s="23">
        <f>IF((ABS($U13)&gt;Defaults!D$7),1,2)</f>
        <v>2</v>
      </c>
      <c r="K13" s="15">
        <f>IF((AND(N13&gt;Defaults!B$12,(N13+O13)&gt;Defaults!B$13,P13&gt;Defaults!B$12,(P13+Q13)&gt;Defaults!B$13)),1,20)</f>
        <v>1</v>
      </c>
      <c r="L13">
        <f t="shared" si="1"/>
        <v>2</v>
      </c>
      <c r="M13" t="b">
        <f t="shared" si="2"/>
        <v>1</v>
      </c>
      <c r="N13" s="123">
        <f t="shared" si="3"/>
        <v>2032</v>
      </c>
      <c r="O13" s="123">
        <f>(D70*L70)-E13</f>
        <v>1283.9999999999995</v>
      </c>
      <c r="P13" s="123">
        <f t="shared" si="4"/>
        <v>2032</v>
      </c>
      <c r="Q13" s="123">
        <f>(C70*L70)-C13</f>
        <v>1283.9999999999995</v>
      </c>
      <c r="R13">
        <f>D13*D70+0.05</f>
        <v>2032.05</v>
      </c>
      <c r="S13">
        <f t="shared" si="5"/>
        <v>0</v>
      </c>
      <c r="T13">
        <f t="shared" si="6"/>
        <v>0</v>
      </c>
      <c r="U13">
        <f t="shared" si="7"/>
        <v>0</v>
      </c>
    </row>
    <row r="14" spans="2:21" ht="30.75" thickBot="1">
      <c r="B14" s="115" t="str">
        <f>'Data Entry'!A14</f>
        <v>9. Cases Resulting in Confinement in Secure    Juvenile Correctional Facilities </v>
      </c>
      <c r="C14" s="159">
        <f>'Data Entry'!K14</f>
        <v>121</v>
      </c>
      <c r="D14" s="68">
        <f>IF(((AND(C70&gt;0,C14&gt;0))),((C14/(C70))),0)</f>
        <v>3.6489746682750304</v>
      </c>
      <c r="E14" s="159">
        <f>'Data Entry'!C14</f>
        <v>121</v>
      </c>
      <c r="F14" s="68">
        <f>IF(((AND($D$70&gt;0,$E$14&gt;0))),(($E$14/($D$70))),0)</f>
        <v>3.6489746682750304</v>
      </c>
      <c r="G14" s="138">
        <f t="shared" si="0"/>
        <v>1</v>
      </c>
      <c r="H14" s="55"/>
      <c r="I14" s="64"/>
      <c r="J14" s="23">
        <f>IF((ABS($U14)&gt;Defaults!D$7),1,2)</f>
        <v>2</v>
      </c>
      <c r="K14" s="15">
        <f>IF((AND(N14&gt;Defaults!B$12,(N14+O14)&gt;Defaults!B$13,P14&gt;Defaults!B$12,(P14+Q14)&gt;Defaults!B$13)),1,20)</f>
        <v>1</v>
      </c>
      <c r="L14">
        <f t="shared" si="1"/>
        <v>2</v>
      </c>
      <c r="M14" t="b">
        <f t="shared" si="2"/>
        <v>1</v>
      </c>
      <c r="N14" s="123">
        <f t="shared" si="3"/>
        <v>121</v>
      </c>
      <c r="O14" s="123">
        <f>(D70*L70)-E14</f>
        <v>3194.9999999999995</v>
      </c>
      <c r="P14" s="123">
        <f t="shared" si="4"/>
        <v>121</v>
      </c>
      <c r="Q14" s="123">
        <f>(C70*L70)-C14</f>
        <v>3194.9999999999995</v>
      </c>
      <c r="R14">
        <f>D14*D70+0.05</f>
        <v>121.05</v>
      </c>
      <c r="S14">
        <f t="shared" si="5"/>
        <v>0</v>
      </c>
      <c r="T14">
        <f t="shared" si="6"/>
        <v>0</v>
      </c>
      <c r="U14">
        <f t="shared" si="7"/>
        <v>0</v>
      </c>
    </row>
    <row r="15" spans="2:21" ht="15.75" thickBot="1">
      <c r="B15" s="115" t="str">
        <f>'Data Entry'!A15</f>
        <v>10. Cases Transferred to Adult Court </v>
      </c>
      <c r="C15" s="159">
        <f>'Data Entry'!K15</f>
        <v>0</v>
      </c>
      <c r="D15" s="68">
        <f>IF(((AND(C69&gt;0,C15&gt;0))),((C15/(C69))),0)</f>
        <v>0</v>
      </c>
      <c r="E15" s="159">
        <f>'Data Entry'!C15</f>
        <v>0</v>
      </c>
      <c r="F15" s="68">
        <f>IF(((AND($D$69&gt;0,$E$15&gt;0))),(($E$15/($D$69))),0)</f>
        <v>0</v>
      </c>
      <c r="G15" s="138" t="str">
        <f t="shared" si="0"/>
        <v>**</v>
      </c>
      <c r="H15" s="55"/>
      <c r="I15" s="64"/>
      <c r="J15" s="23">
        <f>IF((ABS($U15)&gt;Defaults!D$7),1,2)</f>
        <v>2</v>
      </c>
      <c r="K15" s="15">
        <f>IF((AND(N15&gt;Defaults!B$12,(N15+O15)&gt;Defaults!B$13,P15&gt;Defaults!B$12,(P15+Q15)&gt;Defaults!B$13)),1,20)</f>
        <v>20</v>
      </c>
      <c r="L15">
        <f t="shared" si="1"/>
        <v>40</v>
      </c>
      <c r="M15" t="b">
        <f t="shared" si="2"/>
        <v>1</v>
      </c>
      <c r="N15" s="123">
        <f t="shared" si="3"/>
        <v>0</v>
      </c>
      <c r="O15" s="123">
        <f>(D69*L69)-E15</f>
        <v>12374</v>
      </c>
      <c r="P15" s="123">
        <f t="shared" si="4"/>
        <v>0</v>
      </c>
      <c r="Q15" s="123">
        <f>(C69*L69)-C15</f>
        <v>12374</v>
      </c>
      <c r="R15">
        <f>D15*D69+0.05</f>
        <v>0.05</v>
      </c>
      <c r="S15">
        <f t="shared" si="5"/>
        <v>0</v>
      </c>
      <c r="T15">
        <f t="shared" si="6"/>
        <v>0</v>
      </c>
      <c r="U15">
        <f t="shared" si="7"/>
        <v>0</v>
      </c>
    </row>
    <row r="16" spans="2:17" ht="12" customHeight="1">
      <c r="B16" s="103" t="s">
        <v>40</v>
      </c>
      <c r="C16" s="63"/>
      <c r="D16" s="63"/>
      <c r="E16" s="63"/>
      <c r="F16" s="63"/>
      <c r="G16" s="63"/>
      <c r="H16" s="63"/>
      <c r="I16" s="63"/>
      <c r="N16" s="162"/>
      <c r="O16" s="162"/>
      <c r="P16" s="162"/>
      <c r="Q16" s="162"/>
    </row>
    <row r="17" spans="2:17" ht="12" customHeight="1">
      <c r="B17" s="103"/>
      <c r="C17" s="63"/>
      <c r="D17" s="63"/>
      <c r="E17" s="63"/>
      <c r="F17" s="63"/>
      <c r="G17" s="63"/>
      <c r="H17" s="63"/>
      <c r="I17" s="63"/>
      <c r="N17" s="162"/>
      <c r="O17" s="162"/>
      <c r="P17" s="162"/>
      <c r="Q17" s="162"/>
    </row>
    <row r="18" ht="15">
      <c r="B18" t="s">
        <v>113</v>
      </c>
    </row>
    <row r="19" spans="2:4" ht="15">
      <c r="B19" t="s">
        <v>151</v>
      </c>
      <c r="D19" s="61" t="s">
        <v>118</v>
      </c>
    </row>
    <row r="20" spans="2:4" ht="15">
      <c r="B20" t="s">
        <v>34</v>
      </c>
      <c r="D20" t="s">
        <v>57</v>
      </c>
    </row>
    <row r="21" spans="2:4" ht="15">
      <c r="B21" t="s">
        <v>199</v>
      </c>
      <c r="D21" t="s">
        <v>195</v>
      </c>
    </row>
    <row r="22" spans="2:4" ht="15">
      <c r="B22" t="s">
        <v>103</v>
      </c>
      <c r="D22" t="s">
        <v>214</v>
      </c>
    </row>
    <row r="23" spans="2:11" ht="15">
      <c r="B23" t="s">
        <v>129</v>
      </c>
      <c r="D23" s="163" t="s">
        <v>180</v>
      </c>
      <c r="K23" t="s">
        <v>70</v>
      </c>
    </row>
    <row r="24" spans="2:17" ht="12" customHeight="1">
      <c r="B24" s="103"/>
      <c r="C24" s="63"/>
      <c r="D24" s="63"/>
      <c r="E24" s="63"/>
      <c r="F24" s="63"/>
      <c r="G24" s="63"/>
      <c r="H24" s="63"/>
      <c r="I24" s="63"/>
      <c r="N24" s="162"/>
      <c r="O24" s="162"/>
      <c r="P24" s="162"/>
      <c r="Q24" s="162"/>
    </row>
    <row r="25" spans="2:17" ht="15">
      <c r="B25" s="117" t="s">
        <v>96</v>
      </c>
      <c r="K25" t="s">
        <v>198</v>
      </c>
      <c r="L25" t="s">
        <v>2</v>
      </c>
      <c r="N25" s="162"/>
      <c r="O25" s="162" t="b">
        <f>ISBLANK(N12)</f>
        <v>0</v>
      </c>
      <c r="P25" s="162"/>
      <c r="Q25" s="162"/>
    </row>
    <row r="26" spans="2:13" ht="15" customHeight="1">
      <c r="B26" s="95" t="s">
        <v>78</v>
      </c>
      <c r="C26" s="142"/>
      <c r="D26" s="142"/>
      <c r="E26" s="142"/>
      <c r="F26" s="95" t="s">
        <v>207</v>
      </c>
      <c r="G26" s="95"/>
      <c r="H26" s="95"/>
      <c r="I26" s="95"/>
      <c r="J26" s="95"/>
      <c r="K26" s="157" t="s">
        <v>180</v>
      </c>
      <c r="L26" s="97" t="s">
        <v>217</v>
      </c>
      <c r="M26" s="97"/>
    </row>
    <row r="27" spans="2:13" ht="15" customHeight="1">
      <c r="B27" s="6" t="s">
        <v>9</v>
      </c>
      <c r="C27" s="6"/>
      <c r="D27" s="6"/>
      <c r="E27" s="6"/>
      <c r="F27" s="6" t="str">
        <f>B66</f>
        <v>per 1000 youth</v>
      </c>
      <c r="G27" s="6"/>
      <c r="H27" s="6"/>
      <c r="I27" s="6"/>
      <c r="J27" s="6">
        <f>F66</f>
        <v>0</v>
      </c>
      <c r="K27" s="6" t="s">
        <v>214</v>
      </c>
      <c r="L27" s="54" t="s">
        <v>161</v>
      </c>
      <c r="M27" s="142"/>
    </row>
    <row r="28" spans="2:13" ht="15" customHeight="1">
      <c r="B28" s="6" t="s">
        <v>94</v>
      </c>
      <c r="C28" s="6"/>
      <c r="D28" s="6"/>
      <c r="E28" s="6"/>
      <c r="F28" s="89" t="str">
        <f>B67</f>
        <v>per 1000 youth</v>
      </c>
      <c r="G28" s="89"/>
      <c r="H28" s="89"/>
      <c r="I28" s="89"/>
      <c r="J28" s="89"/>
      <c r="K28" s="89" t="s">
        <v>195</v>
      </c>
      <c r="L28" s="104" t="s">
        <v>26</v>
      </c>
      <c r="M28" s="142"/>
    </row>
    <row r="29" spans="2:13" ht="15" customHeight="1">
      <c r="B29" s="89" t="s">
        <v>158</v>
      </c>
      <c r="C29" s="89"/>
      <c r="D29" s="89"/>
      <c r="E29" s="89"/>
      <c r="F29" s="89" t="str">
        <f>B68</f>
        <v>per 100 referrals</v>
      </c>
      <c r="G29" s="89"/>
      <c r="H29" s="89"/>
      <c r="I29" s="89"/>
      <c r="J29" s="89"/>
      <c r="K29" s="89"/>
      <c r="L29" s="104"/>
      <c r="M29" s="142"/>
    </row>
    <row r="30" spans="2:14" ht="15" customHeight="1">
      <c r="B30" s="89" t="s">
        <v>48</v>
      </c>
      <c r="C30" s="89"/>
      <c r="D30" s="89"/>
      <c r="E30" s="89"/>
      <c r="F30" s="89" t="str">
        <f>B68</f>
        <v>per 100 referrals</v>
      </c>
      <c r="G30" s="89"/>
      <c r="H30" s="89"/>
      <c r="I30" s="89"/>
      <c r="J30" s="89"/>
      <c r="K30" s="89"/>
      <c r="L30" s="104"/>
      <c r="M30" s="142"/>
      <c r="N30" s="49" t="b">
        <f>ISNUMBER(J14)</f>
        <v>1</v>
      </c>
    </row>
    <row r="31" spans="2:13" ht="15" customHeight="1">
      <c r="B31" s="89" t="s">
        <v>20</v>
      </c>
      <c r="C31" s="89"/>
      <c r="D31" s="89"/>
      <c r="E31" s="89"/>
      <c r="F31" s="89" t="str">
        <f>B68</f>
        <v>per 100 referrals</v>
      </c>
      <c r="G31" s="89"/>
      <c r="H31" s="89"/>
      <c r="I31" s="89"/>
      <c r="J31" s="89"/>
      <c r="K31" s="89"/>
      <c r="L31" s="104"/>
      <c r="M31" s="142"/>
    </row>
    <row r="32" spans="2:13" ht="15" customHeight="1">
      <c r="B32" s="89" t="s">
        <v>41</v>
      </c>
      <c r="C32" s="89"/>
      <c r="D32" s="89"/>
      <c r="E32" s="89"/>
      <c r="F32" s="89" t="str">
        <f>B69</f>
        <v>per 100 youth petitioned</v>
      </c>
      <c r="G32" s="89"/>
      <c r="H32" s="89"/>
      <c r="I32" s="89"/>
      <c r="J32" s="89"/>
      <c r="K32" s="89"/>
      <c r="L32" s="104"/>
      <c r="M32" s="142"/>
    </row>
    <row r="33" spans="2:13" ht="15" customHeight="1">
      <c r="B33" s="89" t="s">
        <v>111</v>
      </c>
      <c r="C33" s="89"/>
      <c r="D33" s="89"/>
      <c r="E33" s="89"/>
      <c r="F33" s="89" t="str">
        <f>B70</f>
        <v>per 100 youth found delinquent</v>
      </c>
      <c r="G33" s="89"/>
      <c r="H33" s="89"/>
      <c r="I33" s="89"/>
      <c r="J33" s="89"/>
      <c r="K33" s="89"/>
      <c r="L33" s="104"/>
      <c r="M33" s="142"/>
    </row>
    <row r="34" spans="2:13" ht="15" customHeight="1">
      <c r="B34" s="89" t="s">
        <v>64</v>
      </c>
      <c r="C34" s="89"/>
      <c r="D34" s="89"/>
      <c r="E34" s="89"/>
      <c r="F34" s="89" t="str">
        <f>B70</f>
        <v>per 100 youth found delinquent</v>
      </c>
      <c r="G34" s="89"/>
      <c r="H34" s="89"/>
      <c r="I34" s="89"/>
      <c r="J34" s="89"/>
      <c r="K34" s="89"/>
      <c r="L34" s="104"/>
      <c r="M34" s="142"/>
    </row>
    <row r="35" spans="2:13" ht="15" customHeight="1">
      <c r="B35" s="89" t="s">
        <v>74</v>
      </c>
      <c r="C35" s="89"/>
      <c r="D35" s="89"/>
      <c r="E35" s="89"/>
      <c r="F35" s="89" t="str">
        <f>B69</f>
        <v>per 100 youth petitioned</v>
      </c>
      <c r="G35" s="89"/>
      <c r="H35" s="89"/>
      <c r="I35" s="89"/>
      <c r="J35" s="89"/>
      <c r="K35" s="89"/>
      <c r="L35" s="104"/>
      <c r="M35" s="142"/>
    </row>
    <row r="36" spans="10:13" ht="15" customHeight="1">
      <c r="J36" s="142"/>
      <c r="K36" s="142"/>
      <c r="L36" s="142"/>
      <c r="M36" s="142"/>
    </row>
    <row r="40" spans="2:11" ht="30.75" customHeight="1">
      <c r="B40" s="50" t="s">
        <v>65</v>
      </c>
      <c r="C40" s="160"/>
      <c r="D40" s="160"/>
      <c r="E40" s="160"/>
      <c r="F40" s="160"/>
      <c r="G40" s="160"/>
      <c r="H40" s="160"/>
      <c r="I40" s="160"/>
      <c r="J40" s="160"/>
      <c r="K40" s="160"/>
    </row>
    <row r="41" spans="2:12" ht="15">
      <c r="B41" s="124" t="s">
        <v>52</v>
      </c>
      <c r="C41" s="83" t="s">
        <v>206</v>
      </c>
      <c r="D41" s="148" t="s">
        <v>15</v>
      </c>
      <c r="E41" s="83" t="s">
        <v>99</v>
      </c>
      <c r="G41" s="83" t="s">
        <v>117</v>
      </c>
      <c r="H41" s="83"/>
      <c r="I41" s="83"/>
      <c r="L41" t="s">
        <v>230</v>
      </c>
    </row>
    <row r="42" spans="2:13" ht="15">
      <c r="B42" s="5" t="s">
        <v>170</v>
      </c>
      <c r="C42" s="60">
        <f>C6/1000</f>
        <v>482.993</v>
      </c>
      <c r="D42" s="60">
        <f>E6/1000</f>
        <v>482.993</v>
      </c>
      <c r="E42" s="60">
        <f>MAX(C42:D42)</f>
        <v>482.993</v>
      </c>
      <c r="G42" t="str">
        <f>B42</f>
        <v>per 1000 youth</v>
      </c>
      <c r="L42" s="134">
        <v>1000</v>
      </c>
      <c r="M42" s="134"/>
    </row>
    <row r="43" spans="2:13" ht="15">
      <c r="B43" s="5" t="s">
        <v>167</v>
      </c>
      <c r="C43" s="60">
        <f>C7/100</f>
        <v>0</v>
      </c>
      <c r="D43" s="60">
        <f>E7/100</f>
        <v>0</v>
      </c>
      <c r="E43" s="60">
        <f>MAX(C43:D43,0)</f>
        <v>0</v>
      </c>
      <c r="G43" t="str">
        <f>B43</f>
        <v>per 100 arrests</v>
      </c>
      <c r="L43" s="134">
        <v>100</v>
      </c>
      <c r="M43" s="134"/>
    </row>
    <row r="44" spans="2:13" ht="15">
      <c r="B44" s="5" t="s">
        <v>95</v>
      </c>
      <c r="C44" s="60">
        <f>C8/100</f>
        <v>186.77</v>
      </c>
      <c r="D44" s="60">
        <f>E8/100</f>
        <v>186.77</v>
      </c>
      <c r="E44" s="60">
        <f>MAX(C44:D44,0)</f>
        <v>186.77</v>
      </c>
      <c r="G44" t="str">
        <f>B44</f>
        <v>per 100 referrals</v>
      </c>
      <c r="L44" s="134">
        <v>100</v>
      </c>
      <c r="M44" s="134"/>
    </row>
    <row r="45" spans="2:13" ht="15">
      <c r="B45" s="88" t="s">
        <v>84</v>
      </c>
      <c r="C45" s="128">
        <f>C11/100</f>
        <v>123.74</v>
      </c>
      <c r="D45" s="128">
        <f>E11/100</f>
        <v>123.74</v>
      </c>
      <c r="E45" s="60">
        <f>MAX(C45:D45,0)</f>
        <v>123.74</v>
      </c>
      <c r="G45" t="str">
        <f>B45</f>
        <v>per 100 youth petitioned</v>
      </c>
      <c r="L45" s="134">
        <v>100</v>
      </c>
      <c r="M45" s="134"/>
    </row>
    <row r="46" spans="2:13" ht="15">
      <c r="B46" s="88" t="s">
        <v>187</v>
      </c>
      <c r="C46" s="128">
        <f>C12/100</f>
        <v>33.16</v>
      </c>
      <c r="D46" s="128">
        <f>E12/100</f>
        <v>33.16</v>
      </c>
      <c r="E46" s="60">
        <f>MAX(C46:D46)</f>
        <v>33.16</v>
      </c>
      <c r="G46" t="str">
        <f>B46</f>
        <v>per 100 youth found delinquent</v>
      </c>
      <c r="L46" s="134">
        <v>100</v>
      </c>
      <c r="M46" s="134"/>
    </row>
    <row r="47" spans="2:13" ht="15">
      <c r="B47" s="160"/>
      <c r="C47" s="160"/>
      <c r="D47" s="160"/>
      <c r="E47" s="160"/>
      <c r="L47" s="134"/>
      <c r="M47" s="134"/>
    </row>
    <row r="48" spans="2:17" ht="15">
      <c r="B48" s="128" t="str">
        <f>B42</f>
        <v>per 1000 youth</v>
      </c>
      <c r="C48" s="60">
        <f>C42</f>
        <v>482.993</v>
      </c>
      <c r="D48" s="60">
        <f>D42</f>
        <v>482.993</v>
      </c>
      <c r="E48" s="60">
        <f>MAX(C48:D48)</f>
        <v>482.993</v>
      </c>
      <c r="G48" t="str">
        <f>G42</f>
        <v>per 1000 youth</v>
      </c>
      <c r="L48" s="2">
        <f>L42</f>
        <v>1000</v>
      </c>
      <c r="M48" s="2"/>
      <c r="N48" s="162"/>
      <c r="O48" s="162"/>
      <c r="P48" s="162"/>
      <c r="Q48" s="162"/>
    </row>
    <row r="49" spans="2:17" ht="15">
      <c r="B49" s="5" t="str">
        <f aca="true" t="shared" si="8" ref="B49:D50">IF(($E43&gt;0),B43,B42)</f>
        <v>per 1000 youth</v>
      </c>
      <c r="C49" s="5">
        <f t="shared" si="8"/>
        <v>482.993</v>
      </c>
      <c r="D49" s="5">
        <f t="shared" si="8"/>
        <v>482.993</v>
      </c>
      <c r="E49" s="128">
        <f>MAX(C49:D49)</f>
        <v>482.993</v>
      </c>
      <c r="G49" t="str">
        <f>G43</f>
        <v>per 100 arrests</v>
      </c>
      <c r="L49" s="39">
        <f>IF(($E43&gt;0),L43,L42)</f>
        <v>1000</v>
      </c>
      <c r="M49" s="39"/>
      <c r="N49" s="162"/>
      <c r="O49" s="162"/>
      <c r="P49" s="162"/>
      <c r="Q49" s="162"/>
    </row>
    <row r="50" spans="2:17" ht="15">
      <c r="B50" s="5" t="str">
        <f t="shared" si="8"/>
        <v>per 100 referrals</v>
      </c>
      <c r="C50" s="5">
        <f t="shared" si="8"/>
        <v>186.77</v>
      </c>
      <c r="D50" s="5">
        <f t="shared" si="8"/>
        <v>186.77</v>
      </c>
      <c r="E50" s="128">
        <f>MAX(C50:D50)</f>
        <v>186.77</v>
      </c>
      <c r="G50" t="str">
        <f>G44</f>
        <v>per 100 referrals</v>
      </c>
      <c r="L50" s="39">
        <f>IF(($E44&gt;0),L44,L43)</f>
        <v>100</v>
      </c>
      <c r="M50" s="39"/>
      <c r="N50" s="162"/>
      <c r="O50" s="162"/>
      <c r="P50" s="162"/>
      <c r="Q50" s="162"/>
    </row>
    <row r="51" spans="2:13" ht="15">
      <c r="B51" s="5" t="str">
        <f>IF(($E45&gt;0),B45,B43)</f>
        <v>per 100 youth petitioned</v>
      </c>
      <c r="C51" s="5">
        <f>IF(($E45&gt;0),C45,C44)</f>
        <v>123.74</v>
      </c>
      <c r="D51" s="5">
        <f>IF(($E45&gt;0),D45,D44)</f>
        <v>123.74</v>
      </c>
      <c r="E51" s="128">
        <f>MAX(C51:D51)</f>
        <v>123.74</v>
      </c>
      <c r="G51" t="str">
        <f>G45</f>
        <v>per 100 youth petitioned</v>
      </c>
      <c r="L51" s="39">
        <f>IF(($E45&gt;0),L45,L44)</f>
        <v>100</v>
      </c>
      <c r="M51" s="39"/>
    </row>
    <row r="52" spans="2:13" ht="15">
      <c r="B52" s="128" t="str">
        <f>IF(($E46&gt;0),B46,B45)</f>
        <v>per 100 youth found delinquent</v>
      </c>
      <c r="C52" s="128">
        <f>IF(($E46&gt;0),C46,C45)</f>
        <v>33.16</v>
      </c>
      <c r="D52" s="128">
        <f>IF(($E46&gt;0),D46,D45)</f>
        <v>33.16</v>
      </c>
      <c r="E52" s="60">
        <f>MAX(C52:D52)</f>
        <v>33.16</v>
      </c>
      <c r="G52" t="str">
        <f>G46</f>
        <v>per 100 youth found delinquent</v>
      </c>
      <c r="L52" s="39">
        <f>IF(($E46&gt;0),L46,L45)</f>
        <v>100</v>
      </c>
      <c r="M52" s="39"/>
    </row>
    <row r="53" spans="2:13" ht="15">
      <c r="B53" s="5"/>
      <c r="C53" s="128"/>
      <c r="D53" s="128"/>
      <c r="E53" s="128"/>
      <c r="L53" s="134"/>
      <c r="M53" s="134"/>
    </row>
    <row r="54" spans="2:13" ht="15">
      <c r="B54" s="128" t="str">
        <f>B48</f>
        <v>per 1000 youth</v>
      </c>
      <c r="C54" s="60">
        <f>C48</f>
        <v>482.993</v>
      </c>
      <c r="D54" s="60">
        <f>D48</f>
        <v>482.993</v>
      </c>
      <c r="E54" s="60">
        <f>MAX(C54:D54)</f>
        <v>482.993</v>
      </c>
      <c r="G54" t="str">
        <f>G48</f>
        <v>per 1000 youth</v>
      </c>
      <c r="L54" s="2">
        <f>L48</f>
        <v>1000</v>
      </c>
      <c r="M54" s="2"/>
    </row>
    <row r="55" spans="2:13" ht="15">
      <c r="B55" s="5" t="str">
        <f aca="true" t="shared" si="9" ref="B55:D56">IF(($E49&gt;0),B49,B48)</f>
        <v>per 1000 youth</v>
      </c>
      <c r="C55" s="5">
        <f t="shared" si="9"/>
        <v>482.993</v>
      </c>
      <c r="D55" s="5">
        <f t="shared" si="9"/>
        <v>482.993</v>
      </c>
      <c r="E55" s="128">
        <f>MAX(C55:D55)</f>
        <v>482.993</v>
      </c>
      <c r="G55" t="str">
        <f>G49</f>
        <v>per 100 arrests</v>
      </c>
      <c r="L55" s="39">
        <f>IF(($E49&gt;0),L49,L48)</f>
        <v>1000</v>
      </c>
      <c r="M55" s="39"/>
    </row>
    <row r="56" spans="2:13" ht="15">
      <c r="B56" s="5" t="str">
        <f t="shared" si="9"/>
        <v>per 100 referrals</v>
      </c>
      <c r="C56" s="5">
        <f t="shared" si="9"/>
        <v>186.77</v>
      </c>
      <c r="D56" s="5">
        <f t="shared" si="9"/>
        <v>186.77</v>
      </c>
      <c r="E56" s="128">
        <f>MAX(C56:D56)</f>
        <v>186.77</v>
      </c>
      <c r="G56" t="str">
        <f>G50</f>
        <v>per 100 referrals</v>
      </c>
      <c r="L56" s="39">
        <f>IF(($E50&gt;0),L50,L49)</f>
        <v>100</v>
      </c>
      <c r="M56" s="39"/>
    </row>
    <row r="57" spans="2:13" ht="15">
      <c r="B57" s="5" t="str">
        <f>IF(($E51&gt;0),B51,B49)</f>
        <v>per 100 youth petitioned</v>
      </c>
      <c r="C57" s="5">
        <f>IF(($E51&gt;0),C51,C50)</f>
        <v>123.74</v>
      </c>
      <c r="D57" s="5">
        <f>IF(($E51&gt;0),D51,D50)</f>
        <v>123.74</v>
      </c>
      <c r="E57" s="128">
        <f>MAX(C57:D57)</f>
        <v>123.74</v>
      </c>
      <c r="G57" t="str">
        <f>G51</f>
        <v>per 100 youth petitioned</v>
      </c>
      <c r="L57" s="39">
        <f>IF(($E51&gt;0),L51,L50)</f>
        <v>100</v>
      </c>
      <c r="M57" s="39"/>
    </row>
    <row r="58" spans="2:13" ht="15">
      <c r="B58" s="128" t="str">
        <f>IF(($E52&gt;0),B52,B51)</f>
        <v>per 100 youth found delinquent</v>
      </c>
      <c r="C58" s="128">
        <f>IF(($E52&gt;0),C52,C51)</f>
        <v>33.16</v>
      </c>
      <c r="D58" s="128">
        <f>IF(($E52&gt;0),D52,D51)</f>
        <v>33.16</v>
      </c>
      <c r="E58" s="60">
        <f>MAX(C58:D58)</f>
        <v>33.16</v>
      </c>
      <c r="G58" t="str">
        <f>G52</f>
        <v>per 100 youth found delinquent</v>
      </c>
      <c r="L58" s="2">
        <f>IF(($E52&gt;0),L52,L51)</f>
        <v>100</v>
      </c>
      <c r="M58" s="2"/>
    </row>
    <row r="59" spans="2:13" ht="15">
      <c r="B59" s="128"/>
      <c r="C59" s="128"/>
      <c r="D59" s="128"/>
      <c r="E59" s="128"/>
      <c r="L59" s="134"/>
      <c r="M59" s="134"/>
    </row>
    <row r="60" spans="2:13" ht="15">
      <c r="B60" s="128" t="str">
        <f>B54</f>
        <v>per 1000 youth</v>
      </c>
      <c r="C60" s="60">
        <f>C54</f>
        <v>482.993</v>
      </c>
      <c r="D60" s="60">
        <f>D54</f>
        <v>482.993</v>
      </c>
      <c r="E60" s="60">
        <f>MAX(C60:D60)</f>
        <v>482.993</v>
      </c>
      <c r="G60" t="str">
        <f>G54</f>
        <v>per 1000 youth</v>
      </c>
      <c r="L60" s="2">
        <f>L54</f>
        <v>1000</v>
      </c>
      <c r="M60" s="2"/>
    </row>
    <row r="61" spans="2:13" ht="15">
      <c r="B61" s="5" t="str">
        <f aca="true" t="shared" si="10" ref="B61:D62">IF(($E55&gt;0),B55,B54)</f>
        <v>per 1000 youth</v>
      </c>
      <c r="C61" s="5">
        <f t="shared" si="10"/>
        <v>482.993</v>
      </c>
      <c r="D61" s="5">
        <f t="shared" si="10"/>
        <v>482.993</v>
      </c>
      <c r="E61" s="128">
        <f>MAX(C61:D61)</f>
        <v>482.993</v>
      </c>
      <c r="G61" t="str">
        <f>G55</f>
        <v>per 100 arrests</v>
      </c>
      <c r="L61" s="39">
        <f>IF(($E55&gt;0),L55,L54)</f>
        <v>1000</v>
      </c>
      <c r="M61" s="39"/>
    </row>
    <row r="62" spans="2:13" ht="15">
      <c r="B62" s="5" t="str">
        <f t="shared" si="10"/>
        <v>per 100 referrals</v>
      </c>
      <c r="C62" s="5">
        <f t="shared" si="10"/>
        <v>186.77</v>
      </c>
      <c r="D62" s="5">
        <f t="shared" si="10"/>
        <v>186.77</v>
      </c>
      <c r="E62" s="128">
        <f>MAX(C62:D62)</f>
        <v>186.77</v>
      </c>
      <c r="G62" t="str">
        <f>G56</f>
        <v>per 100 referrals</v>
      </c>
      <c r="L62" s="39">
        <f>IF(($E56&gt;0),L56,L55)</f>
        <v>100</v>
      </c>
      <c r="M62" s="39"/>
    </row>
    <row r="63" spans="2:13" ht="15">
      <c r="B63" s="5" t="str">
        <f>IF(($E57&gt;0),B57,B55)</f>
        <v>per 100 youth petitioned</v>
      </c>
      <c r="C63" s="5">
        <f>IF(($E57&gt;0),C57,C56)</f>
        <v>123.74</v>
      </c>
      <c r="D63" s="5">
        <f>IF(($E57&gt;0),D57,D56)</f>
        <v>123.74</v>
      </c>
      <c r="E63" s="128">
        <f>MAX(C63:D63)</f>
        <v>123.74</v>
      </c>
      <c r="G63" t="str">
        <f>G57</f>
        <v>per 100 youth petitioned</v>
      </c>
      <c r="L63" s="39">
        <f>IF(($E57&gt;0),L57,L56)</f>
        <v>100</v>
      </c>
      <c r="M63" s="39"/>
    </row>
    <row r="64" spans="2:13" ht="15">
      <c r="B64" s="128" t="str">
        <f>IF(($E58&gt;0),B58,B57)</f>
        <v>per 100 youth found delinquent</v>
      </c>
      <c r="C64" s="128">
        <f>IF(($E58&gt;0),C58,C57)</f>
        <v>33.16</v>
      </c>
      <c r="D64" s="128">
        <f>IF(($E58&gt;0),D58,D57)</f>
        <v>33.16</v>
      </c>
      <c r="E64" s="60">
        <f>MAX(C64:D64)</f>
        <v>33.16</v>
      </c>
      <c r="G64" t="str">
        <f>G58</f>
        <v>per 100 youth found delinquent</v>
      </c>
      <c r="L64" s="2">
        <f>IF(($E58&gt;0),L58,L57)</f>
        <v>100</v>
      </c>
      <c r="M64" s="2"/>
    </row>
    <row r="65" spans="2:13" ht="15">
      <c r="B65" s="171" t="s">
        <v>224</v>
      </c>
      <c r="L65" s="134"/>
      <c r="M65" s="134"/>
    </row>
    <row r="66" spans="2:13" ht="15">
      <c r="B66" s="128" t="str">
        <f>B60</f>
        <v>per 1000 youth</v>
      </c>
      <c r="C66" s="60">
        <f>C60</f>
        <v>482.993</v>
      </c>
      <c r="D66" s="60">
        <f>D60</f>
        <v>482.993</v>
      </c>
      <c r="E66" s="60">
        <f>MAX(C66:D66)</f>
        <v>482.993</v>
      </c>
      <c r="G66" t="str">
        <f>G60</f>
        <v>per 1000 youth</v>
      </c>
      <c r="L66" s="2">
        <f>L60</f>
        <v>1000</v>
      </c>
      <c r="M66" s="2">
        <f>IF((B66=G66),1,2)</f>
        <v>1</v>
      </c>
    </row>
    <row r="67" spans="2:13" ht="15">
      <c r="B67" s="5" t="str">
        <f aca="true" t="shared" si="11" ref="B67:D68">IF(($E61&gt;0),B61,B60)</f>
        <v>per 1000 youth</v>
      </c>
      <c r="C67" s="5">
        <f t="shared" si="11"/>
        <v>482.993</v>
      </c>
      <c r="D67" s="5">
        <f t="shared" si="11"/>
        <v>482.993</v>
      </c>
      <c r="E67" s="128">
        <f>MAX(C67:D67)</f>
        <v>482.993</v>
      </c>
      <c r="G67" t="str">
        <f>G61</f>
        <v>per 100 arrests</v>
      </c>
      <c r="L67" s="39">
        <f>IF(($E61&gt;0),L61,L60)</f>
        <v>1000</v>
      </c>
      <c r="M67" s="2">
        <f>IF((B67=G67),1,2)</f>
        <v>2</v>
      </c>
    </row>
    <row r="68" spans="2:13" ht="15">
      <c r="B68" s="5" t="str">
        <f t="shared" si="11"/>
        <v>per 100 referrals</v>
      </c>
      <c r="C68" s="5">
        <f t="shared" si="11"/>
        <v>186.77</v>
      </c>
      <c r="D68" s="5">
        <f t="shared" si="11"/>
        <v>186.77</v>
      </c>
      <c r="E68" s="128">
        <f>MAX(C68:D68)</f>
        <v>186.77</v>
      </c>
      <c r="G68" t="str">
        <f>G62</f>
        <v>per 100 referrals</v>
      </c>
      <c r="L68" s="39">
        <f>IF(($E62&gt;0),L62,L61)</f>
        <v>100</v>
      </c>
      <c r="M68" s="2">
        <f>IF((B68=G68),1,2)</f>
        <v>1</v>
      </c>
    </row>
    <row r="69" spans="2:13" ht="15">
      <c r="B69" s="5" t="str">
        <f>IF(($E63&gt;0),B63,B61)</f>
        <v>per 100 youth petitioned</v>
      </c>
      <c r="C69" s="5">
        <f>IF(($E63&gt;0),C63,C62)</f>
        <v>123.74</v>
      </c>
      <c r="D69" s="5">
        <f>IF(($E63&gt;0),D63,D62)</f>
        <v>123.74</v>
      </c>
      <c r="E69" s="128">
        <f>MAX(C69:D69)</f>
        <v>123.74</v>
      </c>
      <c r="G69" t="str">
        <f>G63</f>
        <v>per 100 youth petitioned</v>
      </c>
      <c r="L69" s="39">
        <f>IF(($E63&gt;0),L63,L62)</f>
        <v>100</v>
      </c>
      <c r="M69" s="2">
        <f>IF((B69=G69),1,2)</f>
        <v>1</v>
      </c>
    </row>
    <row r="70" spans="2:13" ht="15">
      <c r="B70" s="128" t="str">
        <f>IF(($E64&gt;0),B64,B63)</f>
        <v>per 100 youth found delinquent</v>
      </c>
      <c r="C70" s="128">
        <f>IF(($E64&gt;0),C64,C63)</f>
        <v>33.16</v>
      </c>
      <c r="D70" s="128">
        <f>IF(($E64&gt;0),D64,D63)</f>
        <v>33.16</v>
      </c>
      <c r="E70" s="60">
        <f>MAX(C70:D70)</f>
        <v>33.16</v>
      </c>
      <c r="G70" t="str">
        <f>G64</f>
        <v>per 100 youth found delinquent</v>
      </c>
      <c r="L70" s="2">
        <f>IF(($E64&gt;0),L64,L63)</f>
        <v>100</v>
      </c>
      <c r="M70" s="2">
        <f>IF((B70=G70),1,2)</f>
        <v>1</v>
      </c>
    </row>
    <row r="82" ht="15">
      <c r="B82" s="92"/>
    </row>
    <row r="83" ht="15">
      <c r="B83" s="31"/>
    </row>
  </sheetData>
  <mergeCells count="6">
    <mergeCell ref="W1:Z2"/>
    <mergeCell ref="R1:U4"/>
    <mergeCell ref="N2:Q4"/>
    <mergeCell ref="B40:J40"/>
    <mergeCell ref="C2:D2"/>
    <mergeCell ref="C3:D3"/>
  </mergeCells>
  <conditionalFormatting sqref="G8:G15">
    <cfRule type="expression" priority="1" dxfId="0" stopIfTrue="1">
      <formula>$L8=1</formula>
    </cfRule>
    <cfRule type="expression" priority="2" dxfId="1" stopIfTrue="1">
      <formula>$L8=2</formula>
    </cfRule>
    <cfRule type="expression" priority="3" dxfId="2" stopIfTrue="1">
      <formula>$L8&gt;3</formula>
    </cfRule>
  </conditionalFormatting>
  <conditionalFormatting sqref="F27">
    <cfRule type="expression" priority="4" dxfId="3" stopIfTrue="1">
      <formula>M66=2</formula>
    </cfRule>
  </conditionalFormatting>
  <conditionalFormatting sqref="F30">
    <cfRule type="expression" priority="5" dxfId="0" stopIfTrue="1">
      <formula>M68=2</formula>
    </cfRule>
  </conditionalFormatting>
  <conditionalFormatting sqref="F28">
    <cfRule type="expression" priority="6" dxfId="0" stopIfTrue="1">
      <formula>M67=2</formula>
    </cfRule>
  </conditionalFormatting>
  <conditionalFormatting sqref="F29">
    <cfRule type="expression" priority="7" dxfId="0" stopIfTrue="1">
      <formula>M68=2</formula>
    </cfRule>
  </conditionalFormatting>
  <conditionalFormatting sqref="F31">
    <cfRule type="expression" priority="8" dxfId="0" stopIfTrue="1">
      <formula>M68=2</formula>
    </cfRule>
  </conditionalFormatting>
  <conditionalFormatting sqref="F32:F33">
    <cfRule type="expression" priority="9" dxfId="0" stopIfTrue="1">
      <formula>M69=2</formula>
    </cfRule>
  </conditionalFormatting>
  <conditionalFormatting sqref="F34">
    <cfRule type="expression" priority="10" dxfId="0" stopIfTrue="1">
      <formula>M70=2</formula>
    </cfRule>
  </conditionalFormatting>
  <conditionalFormatting sqref="F35">
    <cfRule type="expression" priority="11" dxfId="0" stopIfTrue="1">
      <formula>M69=2</formula>
    </cfRule>
  </conditionalFormatting>
  <conditionalFormatting sqref="B86">
    <cfRule type="expression" priority="12" dxfId="0" stopIfTrue="1">
      <formula>$D$83=2</formula>
    </cfRule>
  </conditionalFormatting>
  <conditionalFormatting sqref="G7">
    <cfRule type="expression" priority="13" dxfId="0" stopIfTrue="1">
      <formula>$L7=1</formula>
    </cfRule>
    <cfRule type="expression" priority="14" dxfId="1" stopIfTrue="1">
      <formula>$L7=2</formula>
    </cfRule>
    <cfRule type="expression" priority="15" dxfId="2" stopIfTrue="1">
      <formula>$L7&gt;3</formula>
    </cfRule>
  </conditionalFormatting>
  <printOptions/>
  <pageMargins left="0.57" right="0.17" top="0.75" bottom="0.5" header="0" footer="0"/>
  <pageSetup horizontalDpi="300" verticalDpi="300" orientation="portrait"/>
</worksheet>
</file>

<file path=xl/worksheets/sheet3.xml><?xml version="1.0" encoding="utf-8"?>
<worksheet xmlns="http://schemas.openxmlformats.org/spreadsheetml/2006/main" xmlns:r="http://schemas.openxmlformats.org/officeDocument/2006/relationships">
  <dimension ref="B1:Z83"/>
  <sheetViews>
    <sheetView showGridLines="0" showRowColHeaders="0" tabSelected="1" zoomScale="95" zoomScaleNormal="95" workbookViewId="0" topLeftCell="A1">
      <selection activeCell="A1" sqref="A1"/>
    </sheetView>
  </sheetViews>
  <sheetFormatPr defaultColWidth="9.140625" defaultRowHeight="15"/>
  <cols>
    <col min="1" max="1" width="2.57421875" style="0" customWidth="1"/>
    <col min="2" max="2" width="45.7109375" style="0" customWidth="1"/>
    <col min="3" max="3" width="10.57421875" style="0" customWidth="1"/>
    <col min="4" max="5" width="15.7109375" style="0" customWidth="1"/>
    <col min="6" max="6" width="16.421875" style="0" customWidth="1"/>
    <col min="7" max="7" width="15.00390625" style="0" customWidth="1"/>
    <col min="8" max="8" width="0.13671875" style="0" hidden="1" customWidth="1"/>
    <col min="9" max="9" width="7.8515625" style="0" hidden="1" customWidth="1"/>
    <col min="10" max="10" width="8.00390625" style="0" hidden="1" customWidth="1"/>
    <col min="11" max="11" width="8.8515625" style="0" hidden="1" customWidth="1"/>
    <col min="12" max="13" width="9.140625" style="0" hidden="1" customWidth="1"/>
    <col min="14" max="14" width="9.8515625" style="0" hidden="1" customWidth="1"/>
    <col min="15" max="15" width="0.2890625" style="0" hidden="1" customWidth="1"/>
    <col min="16" max="16" width="0.13671875" style="0" hidden="1" customWidth="1"/>
    <col min="17" max="17" width="0.42578125" style="0" hidden="1" customWidth="1"/>
    <col min="18" max="18" width="8.8515625" style="0" hidden="1" customWidth="1"/>
    <col min="19" max="19" width="0.13671875" style="28" hidden="1" customWidth="1"/>
    <col min="20" max="20" width="12.57421875" style="28" hidden="1" customWidth="1"/>
    <col min="21" max="21" width="12.00390625" style="40" hidden="1" customWidth="1"/>
    <col min="22" max="23" width="9.140625" style="0" customWidth="1"/>
    <col min="24" max="44" width="8.8515625" style="0" customWidth="1"/>
  </cols>
  <sheetData>
    <row r="1" spans="2:21" ht="27.75" customHeight="1">
      <c r="B1" s="38" t="s">
        <v>218</v>
      </c>
      <c r="F1" s="120" t="s">
        <v>126</v>
      </c>
      <c r="G1" s="122" t="str">
        <f>'Data Entry'!D5</f>
        <v>Black or African-American</v>
      </c>
      <c r="H1" s="47"/>
      <c r="I1" s="47"/>
      <c r="J1" s="47"/>
      <c r="K1" s="160"/>
      <c r="N1" s="162"/>
      <c r="O1" s="162"/>
      <c r="P1" s="162"/>
      <c r="Q1" s="162"/>
      <c r="R1" s="56" t="s">
        <v>200</v>
      </c>
      <c r="S1" s="56"/>
      <c r="T1" s="56"/>
      <c r="U1" s="56"/>
    </row>
    <row r="2" spans="2:26" ht="13.5" customHeight="1">
      <c r="B2" s="164" t="str">
        <f>'Data Entry'!A2</f>
        <v>State : Virginia</v>
      </c>
      <c r="C2" s="135" t="str">
        <f>'Data Entry'!C3</f>
        <v> Reporting Period  7/1/2012</v>
      </c>
      <c r="D2" s="119"/>
      <c r="H2" s="32"/>
      <c r="I2" s="32"/>
      <c r="N2" s="166" t="s">
        <v>42</v>
      </c>
      <c r="O2" s="160"/>
      <c r="P2" s="160"/>
      <c r="Q2" s="160"/>
      <c r="R2" s="56"/>
      <c r="S2" s="56"/>
      <c r="T2" s="56"/>
      <c r="U2" s="56"/>
      <c r="W2" s="32"/>
      <c r="X2" s="32"/>
      <c r="Y2" s="32"/>
      <c r="Z2" s="32"/>
    </row>
    <row r="3" spans="2:26" ht="13.5" customHeight="1">
      <c r="B3" s="164" t="str">
        <f>'Data Entry'!A3</f>
        <v>County : Statewide</v>
      </c>
      <c r="C3" s="85" t="str">
        <f>'Data Entry'!C4</f>
        <v>through  6/30/2013</v>
      </c>
      <c r="D3" s="119"/>
      <c r="E3" s="102"/>
      <c r="F3" s="48" t="s">
        <v>197</v>
      </c>
      <c r="G3" s="48" t="str">
        <f>'Data Entry'!$K$5</f>
        <v>White</v>
      </c>
      <c r="H3" s="33"/>
      <c r="I3" s="33"/>
      <c r="J3" s="33"/>
      <c r="K3" s="33"/>
      <c r="N3" s="160"/>
      <c r="O3" s="160"/>
      <c r="P3" s="160"/>
      <c r="Q3" s="160"/>
      <c r="R3" s="56"/>
      <c r="S3" s="56"/>
      <c r="T3" s="56"/>
      <c r="U3" s="56"/>
      <c r="W3" s="32"/>
      <c r="X3" s="32"/>
      <c r="Y3" s="32"/>
      <c r="Z3" s="32"/>
    </row>
    <row r="4" spans="2:21" ht="30" customHeight="1">
      <c r="B4" s="130"/>
      <c r="C4" s="154"/>
      <c r="D4" s="154"/>
      <c r="E4" s="154"/>
      <c r="F4" s="154"/>
      <c r="G4" s="66"/>
      <c r="H4" s="66"/>
      <c r="I4" s="66"/>
      <c r="J4" s="8"/>
      <c r="K4" s="8"/>
      <c r="N4" s="160"/>
      <c r="O4" s="160"/>
      <c r="P4" s="160"/>
      <c r="Q4" s="160"/>
      <c r="R4" s="56"/>
      <c r="S4" s="56"/>
      <c r="T4" s="56"/>
      <c r="U4" s="56"/>
    </row>
    <row r="5" spans="2:21" ht="66.75" customHeight="1" thickBot="1">
      <c r="B5" s="107" t="s">
        <v>1</v>
      </c>
      <c r="C5" s="20" t="s">
        <v>236</v>
      </c>
      <c r="D5" s="161" t="s">
        <v>189</v>
      </c>
      <c r="E5" s="20" t="s">
        <v>148</v>
      </c>
      <c r="F5" s="20" t="s">
        <v>136</v>
      </c>
      <c r="G5" s="93" t="s">
        <v>98</v>
      </c>
      <c r="H5" s="80"/>
      <c r="I5" s="80"/>
      <c r="J5" s="108" t="s">
        <v>191</v>
      </c>
      <c r="K5" s="73" t="s">
        <v>154</v>
      </c>
      <c r="L5" s="160" t="s">
        <v>70</v>
      </c>
      <c r="M5" s="160" t="s">
        <v>203</v>
      </c>
      <c r="N5" s="153" t="s">
        <v>107</v>
      </c>
      <c r="O5" s="162" t="s">
        <v>125</v>
      </c>
      <c r="P5" s="162" t="s">
        <v>213</v>
      </c>
      <c r="Q5" s="162" t="s">
        <v>227</v>
      </c>
      <c r="R5" t="s">
        <v>32</v>
      </c>
      <c r="S5" s="160" t="s">
        <v>63</v>
      </c>
      <c r="T5" t="s">
        <v>226</v>
      </c>
      <c r="U5" t="s">
        <v>127</v>
      </c>
    </row>
    <row r="6" spans="2:21" ht="43.5" customHeight="1" thickBot="1">
      <c r="B6" s="115" t="str">
        <f>'Data Entry'!A6</f>
        <v>1. Population at risk (age 10  through 17 ) </v>
      </c>
      <c r="C6" s="159">
        <f>'Data Entry'!K6</f>
        <v>482993</v>
      </c>
      <c r="D6" s="156"/>
      <c r="E6" s="159">
        <f>'Data Entry'!D6</f>
        <v>175312</v>
      </c>
      <c r="F6" s="156"/>
      <c r="G6" s="84"/>
      <c r="H6" s="16"/>
      <c r="I6" s="78"/>
      <c r="J6" s="57"/>
      <c r="K6" s="127"/>
      <c r="L6">
        <f>IF(('Data Entry'!D6&gt;('Data Entry'!B6/100)),1,100)</f>
        <v>1</v>
      </c>
      <c r="M6" t="s">
        <v>81</v>
      </c>
      <c r="N6" s="162"/>
      <c r="O6" s="162"/>
      <c r="P6" s="162"/>
      <c r="Q6" s="162"/>
      <c r="S6"/>
      <c r="T6"/>
      <c r="U6"/>
    </row>
    <row r="7" spans="2:21" ht="19.5" customHeight="1" thickBot="1">
      <c r="B7" s="115" t="str">
        <f>'Data Entry'!A7</f>
        <v>2. Juvenile Arrests </v>
      </c>
      <c r="C7" s="159">
        <f>'Data Entry'!K7</f>
        <v>0</v>
      </c>
      <c r="D7" s="68">
        <f>IF((AND(C66&gt;0,C7&gt;0)),(C7/C66),0)</f>
        <v>0</v>
      </c>
      <c r="E7" s="159">
        <f>'Data Entry'!D7</f>
        <v>0</v>
      </c>
      <c r="F7" s="68">
        <f>IF((AND($E$7&gt;0,$D$66&gt;0)),($E$7/$D$66),0)</f>
        <v>0</v>
      </c>
      <c r="G7" s="138" t="str">
        <f aca="true" t="shared" si="0" ref="G7:G15">IF(L$6=100,"*",IF(M7=FALSE,"--",IF(K7=20,"**",($F7/$D7))))</f>
        <v>**</v>
      </c>
      <c r="H7" s="55"/>
      <c r="I7" s="64"/>
      <c r="J7" s="23">
        <f>IF((ABS($U7)&gt;Defaults!D$7),1,2)</f>
        <v>2</v>
      </c>
      <c r="K7" s="15">
        <f>IF((AND(N7&gt;Defaults!B$12,(N7+O7)&gt;Defaults!B$13,P7&gt;Defaults!B$12,(P7+Q7)&gt;Defaults!B$13)),1,20)</f>
        <v>20</v>
      </c>
      <c r="L7">
        <f aca="true" t="shared" si="1" ref="L7:L15">(J7*K7+L$6)-1</f>
        <v>40</v>
      </c>
      <c r="M7" t="b">
        <f aca="true" t="shared" si="2" ref="M7:M15">(ISNUMBER(J7))</f>
        <v>1</v>
      </c>
      <c r="N7" s="123">
        <f aca="true" t="shared" si="3" ref="N7:N15">E7</f>
        <v>0</v>
      </c>
      <c r="O7" s="123">
        <f>E6-E7</f>
        <v>175312</v>
      </c>
      <c r="P7" s="123">
        <f aca="true" t="shared" si="4" ref="P7:P15">C7</f>
        <v>0</v>
      </c>
      <c r="Q7" s="123">
        <f>C6-C7</f>
        <v>482993</v>
      </c>
      <c r="R7">
        <f>0.05+(D7*(D66))</f>
        <v>0.05</v>
      </c>
      <c r="S7">
        <f aca="true" t="shared" si="5" ref="S7:S15">ROUND(R7-E7,0)</f>
        <v>0</v>
      </c>
      <c r="T7">
        <f aca="true" t="shared" si="6" ref="T7:T15">S7^2</f>
        <v>0</v>
      </c>
      <c r="U7">
        <f aca="true" t="shared" si="7" ref="U7:U15">T7/R7</f>
        <v>0</v>
      </c>
    </row>
    <row r="8" spans="2:21" ht="19.5" customHeight="1" thickBot="1">
      <c r="B8" s="115" t="str">
        <f>'Data Entry'!A8</f>
        <v>3. Refer to Juvenile Court</v>
      </c>
      <c r="C8" s="159">
        <f>'Data Entry'!K8</f>
        <v>18677</v>
      </c>
      <c r="D8" s="68">
        <f>IF((AND(C67&gt;0,C8&gt;0)),(C8/C67),0)</f>
        <v>38.669297484642634</v>
      </c>
      <c r="E8" s="159">
        <f>'Data Entry'!D8</f>
        <v>18564</v>
      </c>
      <c r="F8" s="68">
        <f>IF((AND($E$8&gt;0,$D$67&gt;0)),($E8/$D67),0)</f>
        <v>105.89121109792826</v>
      </c>
      <c r="G8" s="138">
        <f t="shared" si="0"/>
        <v>2.7383794893088647</v>
      </c>
      <c r="H8" s="55"/>
      <c r="I8" s="64"/>
      <c r="J8" s="23">
        <f>IF((ABS($U8)&gt;Defaults!D$7),1,2)</f>
        <v>1</v>
      </c>
      <c r="K8" s="15">
        <f>IF((AND(N8&gt;Defaults!B$12,(N8+O8)&gt;Defaults!B$13,P8&gt;Defaults!B$12,(P8+Q8)&gt;Defaults!B$13)),1,20)</f>
        <v>1</v>
      </c>
      <c r="L8">
        <f t="shared" si="1"/>
        <v>1</v>
      </c>
      <c r="M8" t="b">
        <f t="shared" si="2"/>
        <v>1</v>
      </c>
      <c r="N8" s="123">
        <f t="shared" si="3"/>
        <v>18564</v>
      </c>
      <c r="O8" s="123">
        <f>((D67*L67)-E8)+0.05</f>
        <v>156748.05</v>
      </c>
      <c r="P8" s="123">
        <f t="shared" si="4"/>
        <v>18677</v>
      </c>
      <c r="Q8" s="123">
        <f>(C$67*L67)-C8</f>
        <v>464316</v>
      </c>
      <c r="R8">
        <f>D8*D67+0.05</f>
        <v>6779.24188062767</v>
      </c>
      <c r="S8">
        <f t="shared" si="5"/>
        <v>-11785</v>
      </c>
      <c r="T8">
        <f t="shared" si="6"/>
        <v>138886225</v>
      </c>
      <c r="U8">
        <f t="shared" si="7"/>
        <v>20486.984746315164</v>
      </c>
    </row>
    <row r="9" spans="2:21" ht="19.5" customHeight="1" thickBot="1">
      <c r="B9" s="115" t="str">
        <f>'Data Entry'!A9</f>
        <v>4. Cases Diverted </v>
      </c>
      <c r="C9" s="159">
        <f>'Data Entry'!K9</f>
        <v>2998</v>
      </c>
      <c r="D9" s="68">
        <f>IF((AND(C68&gt;0,C9&gt;0)),((C9/C68)),0)</f>
        <v>16.051828452106868</v>
      </c>
      <c r="E9" s="159">
        <f>'Data Entry'!D9</f>
        <v>2324</v>
      </c>
      <c r="F9" s="68">
        <f>IF((AND($E$9&gt;0,$D$68&gt;0)),(($E$9/$D$68)),0)</f>
        <v>12.518853695324285</v>
      </c>
      <c r="G9" s="138">
        <f t="shared" si="0"/>
        <v>0.7799020362494052</v>
      </c>
      <c r="H9" s="55"/>
      <c r="I9" s="64"/>
      <c r="J9" s="23">
        <f>IF((ABS($U9)&gt;Defaults!D$7),1,2)</f>
        <v>1</v>
      </c>
      <c r="K9" s="15">
        <f>IF((AND(N9&gt;Defaults!B$12,(N9+O9)&gt;Defaults!B$13,P9&gt;Defaults!B$12,(P9+Q9)&gt;Defaults!B$13)),1,20)</f>
        <v>1</v>
      </c>
      <c r="L9">
        <f t="shared" si="1"/>
        <v>1</v>
      </c>
      <c r="M9" t="b">
        <f t="shared" si="2"/>
        <v>1</v>
      </c>
      <c r="N9" s="123">
        <f t="shared" si="3"/>
        <v>2324</v>
      </c>
      <c r="O9" s="123">
        <f>(D$68*L68)-E9</f>
        <v>16240</v>
      </c>
      <c r="P9" s="123">
        <f t="shared" si="4"/>
        <v>2998</v>
      </c>
      <c r="Q9" s="123">
        <f>(C$68*L68)-C9</f>
        <v>15679</v>
      </c>
      <c r="R9">
        <f>D9*D68+0.05</f>
        <v>2979.911433849119</v>
      </c>
      <c r="S9">
        <f t="shared" si="5"/>
        <v>656</v>
      </c>
      <c r="T9">
        <f t="shared" si="6"/>
        <v>430336</v>
      </c>
      <c r="U9">
        <f t="shared" si="7"/>
        <v>144.41234565288394</v>
      </c>
    </row>
    <row r="10" spans="2:21" ht="19.5" customHeight="1" thickBot="1">
      <c r="B10" s="115" t="str">
        <f>'Data Entry'!A10</f>
        <v>5. Cases Involving Secure Detention</v>
      </c>
      <c r="C10" s="159">
        <f>'Data Entry'!K10</f>
        <v>2398</v>
      </c>
      <c r="D10" s="68">
        <f>IF(((AND(C68&gt;0,C10&gt;0))),(C10/(C68)),0)</f>
        <v>12.83932109011083</v>
      </c>
      <c r="E10" s="159">
        <f>'Data Entry'!D10</f>
        <v>4316</v>
      </c>
      <c r="F10" s="68">
        <f>IF(((AND($E$10&gt;0,$D$68&gt;0))),($E$10/($D$68)),0)</f>
        <v>23.249299719887958</v>
      </c>
      <c r="G10" s="138">
        <f t="shared" si="0"/>
        <v>1.8107888693425664</v>
      </c>
      <c r="H10" s="55"/>
      <c r="I10" s="64"/>
      <c r="J10" s="23">
        <f>IF((ABS($U10)&gt;Defaults!D$7),1,2)</f>
        <v>1</v>
      </c>
      <c r="K10" s="15">
        <f>IF((AND(N10&gt;Defaults!B$12,(N10+O10)&gt;Defaults!B$13,P10&gt;Defaults!B$12,(P10+Q10)&gt;Defaults!B$13)),1,20)</f>
        <v>1</v>
      </c>
      <c r="L10">
        <f t="shared" si="1"/>
        <v>1</v>
      </c>
      <c r="M10" t="b">
        <f t="shared" si="2"/>
        <v>1</v>
      </c>
      <c r="N10" s="123">
        <f t="shared" si="3"/>
        <v>4316</v>
      </c>
      <c r="O10" s="123">
        <f>(D$68*L68)-E10</f>
        <v>14248</v>
      </c>
      <c r="P10" s="123">
        <f t="shared" si="4"/>
        <v>2398</v>
      </c>
      <c r="Q10" s="123">
        <f>(C$68*L68)-C10</f>
        <v>16279</v>
      </c>
      <c r="R10">
        <f>D10*D68+0.05</f>
        <v>2383.5415671681744</v>
      </c>
      <c r="S10">
        <f t="shared" si="5"/>
        <v>-1932</v>
      </c>
      <c r="T10">
        <f t="shared" si="6"/>
        <v>3732624</v>
      </c>
      <c r="U10">
        <f t="shared" si="7"/>
        <v>1565.9991213975918</v>
      </c>
    </row>
    <row r="11" spans="2:21" ht="19.5" customHeight="1" thickBot="1">
      <c r="B11" s="115" t="str">
        <f>'Data Entry'!A11</f>
        <v>6. Cases Petitioned (Charge Filed)</v>
      </c>
      <c r="C11" s="159">
        <f>'Data Entry'!K11</f>
        <v>12374</v>
      </c>
      <c r="D11" s="68">
        <f>IF(((AND(C68&gt;0,C11&gt;0))),(C11/(C68)),0)</f>
        <v>66.25261016223162</v>
      </c>
      <c r="E11" s="159">
        <f>'Data Entry'!D11</f>
        <v>13170</v>
      </c>
      <c r="F11" s="68">
        <f>IF(((AND($E$11&gt;0,$D$68&gt;0))),($E$11/($D$68)),0)</f>
        <v>70.94376212023272</v>
      </c>
      <c r="G11" s="138">
        <f t="shared" si="0"/>
        <v>1.0708070511714778</v>
      </c>
      <c r="H11" s="55"/>
      <c r="I11" s="64"/>
      <c r="J11" s="23">
        <f>IF((ABS($U11)&gt;Defaults!D$7),1,2)</f>
        <v>1</v>
      </c>
      <c r="K11" s="15">
        <f>IF((AND(N11&gt;Defaults!B$12,(N11+O11)&gt;Defaults!B$13,P11&gt;Defaults!B$12,(P11+Q11)&gt;Defaults!B$13)),1,20)</f>
        <v>1</v>
      </c>
      <c r="L11">
        <f t="shared" si="1"/>
        <v>1</v>
      </c>
      <c r="M11" t="b">
        <f t="shared" si="2"/>
        <v>1</v>
      </c>
      <c r="N11" s="123">
        <f t="shared" si="3"/>
        <v>13170</v>
      </c>
      <c r="O11" s="123">
        <f>(D$68*L68)-E11</f>
        <v>5394</v>
      </c>
      <c r="P11" s="123">
        <f t="shared" si="4"/>
        <v>12374</v>
      </c>
      <c r="Q11" s="123">
        <f>(C$68*L68)-C11</f>
        <v>6303</v>
      </c>
      <c r="R11">
        <f>D11*D68+0.05</f>
        <v>12299.184550516677</v>
      </c>
      <c r="S11">
        <f t="shared" si="5"/>
        <v>-871</v>
      </c>
      <c r="T11">
        <f t="shared" si="6"/>
        <v>758641</v>
      </c>
      <c r="U11">
        <f t="shared" si="7"/>
        <v>61.68221940926403</v>
      </c>
    </row>
    <row r="12" spans="2:21" ht="19.5" customHeight="1" thickBot="1">
      <c r="B12" s="115" t="str">
        <f>'Data Entry'!A12</f>
        <v>7. Cases Resulting in Delinquent Findings</v>
      </c>
      <c r="C12" s="159">
        <f>'Data Entry'!K12</f>
        <v>3316</v>
      </c>
      <c r="D12" s="68">
        <f>IF(((AND(C69&gt;0,C12&gt;0))),(C12/(C69)),0)</f>
        <v>26.798125101018265</v>
      </c>
      <c r="E12" s="159">
        <f>'Data Entry'!D12</f>
        <v>4638</v>
      </c>
      <c r="F12" s="68">
        <f>IF(((AND($D$69&gt;0,$E$12&gt;0))),(E12/(D69)),0)</f>
        <v>35.216400911161735</v>
      </c>
      <c r="G12" s="138">
        <f t="shared" si="0"/>
        <v>1.3141367457017952</v>
      </c>
      <c r="H12" s="55"/>
      <c r="I12" s="64"/>
      <c r="J12" s="23">
        <f>IF((ABS($U12)&gt;Defaults!D$7),1,2)</f>
        <v>1</v>
      </c>
      <c r="K12" s="15">
        <f>IF((AND(N12&gt;Defaults!B$12,(N12+O12)&gt;Defaults!B$13,P12&gt;Defaults!B$12,(P12+Q12)&gt;Defaults!B$13)),1,20)</f>
        <v>1</v>
      </c>
      <c r="L12">
        <f t="shared" si="1"/>
        <v>1</v>
      </c>
      <c r="M12" t="b">
        <f t="shared" si="2"/>
        <v>1</v>
      </c>
      <c r="N12" s="123">
        <f t="shared" si="3"/>
        <v>4638</v>
      </c>
      <c r="O12" s="123">
        <f>(D69*L69)-E12</f>
        <v>8531.999999999998</v>
      </c>
      <c r="P12" s="123">
        <f t="shared" si="4"/>
        <v>3316</v>
      </c>
      <c r="Q12" s="123">
        <f>(C69*L69)-C12</f>
        <v>9058</v>
      </c>
      <c r="R12">
        <f>D12*D69+0.05</f>
        <v>3529.3630758041054</v>
      </c>
      <c r="S12">
        <f t="shared" si="5"/>
        <v>-1109</v>
      </c>
      <c r="T12">
        <f t="shared" si="6"/>
        <v>1229881</v>
      </c>
      <c r="U12">
        <f t="shared" si="7"/>
        <v>348.47109055783176</v>
      </c>
    </row>
    <row r="13" spans="2:21" ht="19.5" customHeight="1" thickBot="1">
      <c r="B13" s="115" t="str">
        <f>'Data Entry'!A13</f>
        <v>8. Cases resulting in Probation Placement</v>
      </c>
      <c r="C13" s="159">
        <f>'Data Entry'!K13</f>
        <v>2032</v>
      </c>
      <c r="D13" s="68">
        <f>IF(((AND(C70&gt;0,C13&gt;0))),(C13/(C70)),0)</f>
        <v>61.27864897466828</v>
      </c>
      <c r="E13" s="159">
        <f>'Data Entry'!D13</f>
        <v>2134</v>
      </c>
      <c r="F13" s="68">
        <f>IF(((AND($D$70&gt;0,$E$13&gt;0))),($E$13/($D$70)),0)</f>
        <v>46.01121172919362</v>
      </c>
      <c r="G13" s="138">
        <f t="shared" si="0"/>
        <v>0.750852254399636</v>
      </c>
      <c r="H13" s="55"/>
      <c r="I13" s="64"/>
      <c r="J13" s="23">
        <f>IF((ABS($U13)&gt;Defaults!D$7),1,2)</f>
        <v>1</v>
      </c>
      <c r="K13" s="15">
        <f>IF((AND(N13&gt;Defaults!B$12,(N13+O13)&gt;Defaults!B$13,P13&gt;Defaults!B$12,(P13+Q13)&gt;Defaults!B$13)),1,20)</f>
        <v>1</v>
      </c>
      <c r="L13">
        <f t="shared" si="1"/>
        <v>1</v>
      </c>
      <c r="M13" t="b">
        <f t="shared" si="2"/>
        <v>1</v>
      </c>
      <c r="N13" s="123">
        <f t="shared" si="3"/>
        <v>2134</v>
      </c>
      <c r="O13" s="123">
        <f>(D70*L70)-E13</f>
        <v>2504</v>
      </c>
      <c r="P13" s="123">
        <f t="shared" si="4"/>
        <v>2032</v>
      </c>
      <c r="Q13" s="123">
        <f>(C70*L70)-C13</f>
        <v>1283.9999999999995</v>
      </c>
      <c r="R13">
        <f>D13*D70+0.05</f>
        <v>2842.153739445115</v>
      </c>
      <c r="S13">
        <f t="shared" si="5"/>
        <v>708</v>
      </c>
      <c r="T13">
        <f t="shared" si="6"/>
        <v>501264</v>
      </c>
      <c r="U13">
        <f t="shared" si="7"/>
        <v>176.36765845673912</v>
      </c>
    </row>
    <row r="14" spans="2:21" ht="33" customHeight="1" thickBot="1">
      <c r="B14" s="115" t="str">
        <f>'Data Entry'!A14</f>
        <v>9. Cases Resulting in Confinement in Secure    Juvenile Correctional Facilities </v>
      </c>
      <c r="C14" s="159">
        <f>'Data Entry'!K14</f>
        <v>121</v>
      </c>
      <c r="D14" s="68">
        <f>IF(((AND(C70&gt;0,C14&gt;0))),((C14/(C70))),0)</f>
        <v>3.6489746682750304</v>
      </c>
      <c r="E14" s="159">
        <f>'Data Entry'!D14</f>
        <v>335</v>
      </c>
      <c r="F14" s="68">
        <f>IF(((AND($D$70&gt;0,$E$14&gt;0))),(($E$14/($D$70))),0)</f>
        <v>7.222940922811556</v>
      </c>
      <c r="G14" s="138">
        <f t="shared" si="0"/>
        <v>1.9794439752101751</v>
      </c>
      <c r="H14" s="55"/>
      <c r="I14" s="64"/>
      <c r="J14" s="23">
        <f>IF((ABS($U14)&gt;Defaults!D$7),1,2)</f>
        <v>1</v>
      </c>
      <c r="K14" s="15">
        <f>IF((AND(N14&gt;Defaults!B$12,(N14+O14)&gt;Defaults!B$13,P14&gt;Defaults!B$12,(P14+Q14)&gt;Defaults!B$13)),1,20)</f>
        <v>1</v>
      </c>
      <c r="L14">
        <f t="shared" si="1"/>
        <v>1</v>
      </c>
      <c r="M14" t="b">
        <f t="shared" si="2"/>
        <v>1</v>
      </c>
      <c r="N14" s="123">
        <f t="shared" si="3"/>
        <v>335</v>
      </c>
      <c r="O14" s="123">
        <f>(D70*L70)-E14</f>
        <v>4303</v>
      </c>
      <c r="P14" s="123">
        <f t="shared" si="4"/>
        <v>121</v>
      </c>
      <c r="Q14" s="123">
        <f>(C70*L70)-C14</f>
        <v>3194.9999999999995</v>
      </c>
      <c r="R14">
        <f>D14*D70+0.05</f>
        <v>169.28944511459594</v>
      </c>
      <c r="S14">
        <f t="shared" si="5"/>
        <v>-166</v>
      </c>
      <c r="T14">
        <f t="shared" si="6"/>
        <v>27556</v>
      </c>
      <c r="U14">
        <f t="shared" si="7"/>
        <v>162.77447174185437</v>
      </c>
    </row>
    <row r="15" spans="2:21" ht="19.5" customHeight="1" thickBot="1">
      <c r="B15" s="115" t="str">
        <f>'Data Entry'!A15</f>
        <v>10. Cases Transferred to Adult Court </v>
      </c>
      <c r="C15" s="159">
        <f>'Data Entry'!K15</f>
        <v>0</v>
      </c>
      <c r="D15" s="68">
        <f>IF(((AND(C69&gt;0,C15&gt;0))),((C15/(C69))),0)</f>
        <v>0</v>
      </c>
      <c r="E15" s="159">
        <f>'Data Entry'!D15</f>
        <v>0</v>
      </c>
      <c r="F15" s="68">
        <f>IF(((AND($D$69&gt;0,$E$15&gt;0))),(($E$15/($D$69))),0)</f>
        <v>0</v>
      </c>
      <c r="G15" s="138" t="str">
        <f t="shared" si="0"/>
        <v>**</v>
      </c>
      <c r="H15" s="55"/>
      <c r="I15" s="64"/>
      <c r="J15" s="23">
        <f>IF((ABS($U15)&gt;Defaults!D$7),1,2)</f>
        <v>2</v>
      </c>
      <c r="K15" s="15">
        <f>IF((AND(N15&gt;Defaults!B$12,(N15+O15)&gt;Defaults!B$13,P15&gt;Defaults!B$12,(P15+Q15)&gt;Defaults!B$13)),1,20)</f>
        <v>20</v>
      </c>
      <c r="L15">
        <f t="shared" si="1"/>
        <v>40</v>
      </c>
      <c r="M15" t="b">
        <f t="shared" si="2"/>
        <v>1</v>
      </c>
      <c r="N15" s="123">
        <f t="shared" si="3"/>
        <v>0</v>
      </c>
      <c r="O15" s="123">
        <f>(D69*L69)-E15</f>
        <v>13169.999999999998</v>
      </c>
      <c r="P15" s="123">
        <f t="shared" si="4"/>
        <v>0</v>
      </c>
      <c r="Q15" s="123">
        <f>(C69*L69)-C15</f>
        <v>12374</v>
      </c>
      <c r="R15">
        <f>D15*D69+0.05</f>
        <v>0.05</v>
      </c>
      <c r="S15">
        <f t="shared" si="5"/>
        <v>0</v>
      </c>
      <c r="T15">
        <f t="shared" si="6"/>
        <v>0</v>
      </c>
      <c r="U15">
        <f t="shared" si="7"/>
        <v>0</v>
      </c>
    </row>
    <row r="16" spans="2:21" ht="19.5" customHeight="1">
      <c r="B16" s="103" t="s">
        <v>40</v>
      </c>
      <c r="C16" s="63"/>
      <c r="D16" s="63"/>
      <c r="E16" s="63"/>
      <c r="F16" s="63"/>
      <c r="G16" s="63"/>
      <c r="H16" s="63"/>
      <c r="I16" s="63"/>
      <c r="N16" s="162"/>
      <c r="O16" s="162"/>
      <c r="P16" s="162"/>
      <c r="Q16" s="162"/>
      <c r="S16"/>
      <c r="T16"/>
      <c r="U16"/>
    </row>
    <row r="17" spans="2:21" ht="12" customHeight="1">
      <c r="B17" s="103"/>
      <c r="C17" s="63"/>
      <c r="D17" s="63"/>
      <c r="E17" s="63"/>
      <c r="F17" s="63"/>
      <c r="G17" s="63"/>
      <c r="H17" s="63"/>
      <c r="I17" s="63"/>
      <c r="N17" s="162"/>
      <c r="O17" s="162"/>
      <c r="P17" s="162"/>
      <c r="Q17" s="162"/>
      <c r="S17"/>
      <c r="T17"/>
      <c r="U17"/>
    </row>
    <row r="18" spans="2:21" ht="15">
      <c r="B18" t="s">
        <v>113</v>
      </c>
      <c r="N18" s="49"/>
      <c r="O18" s="49"/>
      <c r="P18" s="49"/>
      <c r="Q18" s="49"/>
      <c r="S18"/>
      <c r="T18"/>
      <c r="U18"/>
    </row>
    <row r="19" spans="2:21" ht="15">
      <c r="B19" t="s">
        <v>151</v>
      </c>
      <c r="D19" s="61" t="s">
        <v>118</v>
      </c>
      <c r="N19" s="49"/>
      <c r="O19" s="49"/>
      <c r="P19" s="49"/>
      <c r="Q19" s="49"/>
      <c r="S19"/>
      <c r="T19"/>
      <c r="U19"/>
    </row>
    <row r="20" spans="2:21" ht="15">
      <c r="B20" t="s">
        <v>34</v>
      </c>
      <c r="D20" t="s">
        <v>57</v>
      </c>
      <c r="N20" s="49"/>
      <c r="O20" s="49"/>
      <c r="P20" s="49"/>
      <c r="Q20" s="49"/>
      <c r="S20"/>
      <c r="T20"/>
      <c r="U20"/>
    </row>
    <row r="21" spans="2:21" ht="15">
      <c r="B21" t="s">
        <v>199</v>
      </c>
      <c r="D21" t="s">
        <v>195</v>
      </c>
      <c r="N21" s="49"/>
      <c r="O21" s="49"/>
      <c r="P21" s="49"/>
      <c r="Q21" s="49"/>
      <c r="S21"/>
      <c r="T21"/>
      <c r="U21"/>
    </row>
    <row r="22" spans="2:21" ht="15">
      <c r="B22" t="s">
        <v>103</v>
      </c>
      <c r="D22" t="s">
        <v>214</v>
      </c>
      <c r="N22" s="49"/>
      <c r="O22" s="49"/>
      <c r="P22" s="49"/>
      <c r="Q22" s="49"/>
      <c r="S22"/>
      <c r="T22"/>
      <c r="U22"/>
    </row>
    <row r="23" spans="2:21" ht="15">
      <c r="B23" t="s">
        <v>129</v>
      </c>
      <c r="D23" s="163" t="s">
        <v>180</v>
      </c>
      <c r="K23" t="s">
        <v>70</v>
      </c>
      <c r="N23" s="49"/>
      <c r="O23" s="49"/>
      <c r="P23" s="49"/>
      <c r="Q23" s="49"/>
      <c r="S23"/>
      <c r="T23"/>
      <c r="U23"/>
    </row>
    <row r="24" spans="2:21" ht="12" customHeight="1">
      <c r="B24" s="103"/>
      <c r="C24" s="63"/>
      <c r="D24" s="63"/>
      <c r="E24" s="63"/>
      <c r="F24" s="63"/>
      <c r="G24" s="63"/>
      <c r="H24" s="63"/>
      <c r="I24" s="63"/>
      <c r="N24" s="162"/>
      <c r="O24" s="162"/>
      <c r="P24" s="162"/>
      <c r="Q24" s="162"/>
      <c r="S24"/>
      <c r="T24"/>
      <c r="U24"/>
    </row>
    <row r="25" spans="2:21" ht="15">
      <c r="B25" s="117" t="s">
        <v>96</v>
      </c>
      <c r="K25" t="s">
        <v>198</v>
      </c>
      <c r="L25" t="s">
        <v>2</v>
      </c>
      <c r="N25" s="162"/>
      <c r="O25" s="162" t="b">
        <f>ISBLANK(N12)</f>
        <v>0</v>
      </c>
      <c r="P25" s="162"/>
      <c r="Q25" s="162"/>
      <c r="S25"/>
      <c r="T25"/>
      <c r="U25"/>
    </row>
    <row r="26" spans="2:21" ht="15" customHeight="1">
      <c r="B26" s="95" t="s">
        <v>78</v>
      </c>
      <c r="C26" s="142"/>
      <c r="D26" s="142"/>
      <c r="E26" s="142"/>
      <c r="F26" s="95" t="s">
        <v>207</v>
      </c>
      <c r="G26" s="95"/>
      <c r="H26" s="95"/>
      <c r="I26" s="95"/>
      <c r="J26" s="95"/>
      <c r="K26" s="157" t="s">
        <v>180</v>
      </c>
      <c r="L26" s="97" t="s">
        <v>217</v>
      </c>
      <c r="M26" s="97"/>
      <c r="N26" s="49"/>
      <c r="O26" s="49"/>
      <c r="P26" s="49"/>
      <c r="Q26" s="49"/>
      <c r="S26"/>
      <c r="T26"/>
      <c r="U26"/>
    </row>
    <row r="27" spans="2:21" ht="15" customHeight="1">
      <c r="B27" s="6" t="s">
        <v>9</v>
      </c>
      <c r="C27" s="6"/>
      <c r="D27" s="6"/>
      <c r="E27" s="6"/>
      <c r="F27" s="6" t="str">
        <f>B66</f>
        <v>per 1000 youth</v>
      </c>
      <c r="G27" s="6"/>
      <c r="H27" s="6"/>
      <c r="I27" s="6"/>
      <c r="J27" s="6">
        <f>F66</f>
        <v>0</v>
      </c>
      <c r="K27" s="6" t="s">
        <v>214</v>
      </c>
      <c r="L27" s="54" t="s">
        <v>161</v>
      </c>
      <c r="M27" s="142"/>
      <c r="N27" s="49"/>
      <c r="O27" s="49"/>
      <c r="P27" s="49"/>
      <c r="Q27" s="49"/>
      <c r="S27"/>
      <c r="T27"/>
      <c r="U27"/>
    </row>
    <row r="28" spans="2:21" ht="15" customHeight="1">
      <c r="B28" s="6" t="s">
        <v>94</v>
      </c>
      <c r="C28" s="6"/>
      <c r="D28" s="6"/>
      <c r="E28" s="6"/>
      <c r="F28" s="89" t="str">
        <f>B67</f>
        <v>per 1000 youth</v>
      </c>
      <c r="G28" s="89"/>
      <c r="H28" s="89"/>
      <c r="I28" s="89"/>
      <c r="J28" s="89"/>
      <c r="K28" s="89" t="s">
        <v>195</v>
      </c>
      <c r="L28" s="104" t="s">
        <v>26</v>
      </c>
      <c r="M28" s="142"/>
      <c r="N28" s="49"/>
      <c r="O28" s="49"/>
      <c r="P28" s="49"/>
      <c r="Q28" s="49"/>
      <c r="S28"/>
      <c r="T28"/>
      <c r="U28"/>
    </row>
    <row r="29" spans="2:21" ht="15" customHeight="1">
      <c r="B29" s="89" t="s">
        <v>158</v>
      </c>
      <c r="C29" s="89"/>
      <c r="D29" s="89"/>
      <c r="E29" s="89"/>
      <c r="F29" s="89" t="str">
        <f>B68</f>
        <v>per 100 referrals</v>
      </c>
      <c r="G29" s="89"/>
      <c r="H29" s="89"/>
      <c r="I29" s="89"/>
      <c r="J29" s="89"/>
      <c r="K29" s="89"/>
      <c r="L29" s="104"/>
      <c r="M29" s="142"/>
      <c r="N29" s="49"/>
      <c r="O29" s="49"/>
      <c r="P29" s="49"/>
      <c r="Q29" s="49"/>
      <c r="S29"/>
      <c r="T29"/>
      <c r="U29"/>
    </row>
    <row r="30" spans="2:21" ht="15" customHeight="1">
      <c r="B30" s="89" t="s">
        <v>48</v>
      </c>
      <c r="C30" s="89"/>
      <c r="D30" s="89"/>
      <c r="E30" s="89"/>
      <c r="F30" s="89" t="str">
        <f>B68</f>
        <v>per 100 referrals</v>
      </c>
      <c r="G30" s="89"/>
      <c r="H30" s="89"/>
      <c r="I30" s="89"/>
      <c r="J30" s="89"/>
      <c r="K30" s="89"/>
      <c r="L30" s="104"/>
      <c r="M30" s="142"/>
      <c r="N30" s="49" t="b">
        <f>ISNUMBER(J14)</f>
        <v>1</v>
      </c>
      <c r="O30" s="49"/>
      <c r="P30" s="49"/>
      <c r="Q30" s="49"/>
      <c r="S30"/>
      <c r="T30"/>
      <c r="U30"/>
    </row>
    <row r="31" spans="2:21" ht="15" customHeight="1">
      <c r="B31" s="89" t="s">
        <v>20</v>
      </c>
      <c r="C31" s="89"/>
      <c r="D31" s="89"/>
      <c r="E31" s="89"/>
      <c r="F31" s="89" t="str">
        <f>B68</f>
        <v>per 100 referrals</v>
      </c>
      <c r="G31" s="89"/>
      <c r="H31" s="89"/>
      <c r="I31" s="89"/>
      <c r="J31" s="89"/>
      <c r="K31" s="89"/>
      <c r="L31" s="104"/>
      <c r="M31" s="142"/>
      <c r="N31" s="49"/>
      <c r="O31" s="49"/>
      <c r="P31" s="49"/>
      <c r="Q31" s="49"/>
      <c r="S31"/>
      <c r="T31"/>
      <c r="U31"/>
    </row>
    <row r="32" spans="2:21" ht="15" customHeight="1">
      <c r="B32" s="89" t="s">
        <v>41</v>
      </c>
      <c r="C32" s="89"/>
      <c r="D32" s="89"/>
      <c r="E32" s="89"/>
      <c r="F32" s="89" t="str">
        <f>B69</f>
        <v>per 100 youth petitioned</v>
      </c>
      <c r="G32" s="89"/>
      <c r="H32" s="89"/>
      <c r="I32" s="89"/>
      <c r="J32" s="89"/>
      <c r="K32" s="89"/>
      <c r="L32" s="104"/>
      <c r="M32" s="142"/>
      <c r="N32" s="49"/>
      <c r="O32" s="49"/>
      <c r="P32" s="49"/>
      <c r="Q32" s="49"/>
      <c r="S32"/>
      <c r="T32"/>
      <c r="U32"/>
    </row>
    <row r="33" spans="2:21" ht="15" customHeight="1">
      <c r="B33" s="89" t="s">
        <v>111</v>
      </c>
      <c r="C33" s="89"/>
      <c r="D33" s="89"/>
      <c r="E33" s="89"/>
      <c r="F33" s="89" t="str">
        <f>B70</f>
        <v>per 100 youth found delinquent</v>
      </c>
      <c r="G33" s="89"/>
      <c r="H33" s="89"/>
      <c r="I33" s="89"/>
      <c r="J33" s="89"/>
      <c r="K33" s="89"/>
      <c r="L33" s="104"/>
      <c r="M33" s="142"/>
      <c r="N33" s="49"/>
      <c r="O33" s="49"/>
      <c r="P33" s="49"/>
      <c r="Q33" s="49"/>
      <c r="S33"/>
      <c r="T33"/>
      <c r="U33"/>
    </row>
    <row r="34" spans="2:21" ht="15" customHeight="1">
      <c r="B34" s="89" t="s">
        <v>64</v>
      </c>
      <c r="C34" s="89"/>
      <c r="D34" s="89"/>
      <c r="E34" s="89"/>
      <c r="F34" s="89" t="str">
        <f>B70</f>
        <v>per 100 youth found delinquent</v>
      </c>
      <c r="G34" s="89"/>
      <c r="H34" s="89"/>
      <c r="I34" s="89"/>
      <c r="J34" s="89"/>
      <c r="K34" s="89"/>
      <c r="L34" s="104"/>
      <c r="M34" s="142"/>
      <c r="N34" s="49"/>
      <c r="O34" s="49"/>
      <c r="P34" s="49"/>
      <c r="Q34" s="49"/>
      <c r="S34"/>
      <c r="T34"/>
      <c r="U34"/>
    </row>
    <row r="35" spans="2:21" ht="15" customHeight="1">
      <c r="B35" s="89" t="s">
        <v>74</v>
      </c>
      <c r="C35" s="89"/>
      <c r="D35" s="89"/>
      <c r="E35" s="89"/>
      <c r="F35" s="89" t="str">
        <f>B69</f>
        <v>per 100 youth petitioned</v>
      </c>
      <c r="G35" s="89"/>
      <c r="H35" s="89"/>
      <c r="I35" s="89"/>
      <c r="J35" s="89"/>
      <c r="K35" s="89"/>
      <c r="L35" s="104"/>
      <c r="M35" s="142"/>
      <c r="N35" s="49"/>
      <c r="O35" s="49"/>
      <c r="P35" s="49"/>
      <c r="Q35" s="49"/>
      <c r="S35"/>
      <c r="T35"/>
      <c r="U35"/>
    </row>
    <row r="36" spans="10:21" ht="15" customHeight="1">
      <c r="J36" s="142"/>
      <c r="K36" s="142"/>
      <c r="L36" s="142"/>
      <c r="M36" s="142"/>
      <c r="N36" s="49"/>
      <c r="O36" s="49"/>
      <c r="P36" s="49"/>
      <c r="Q36" s="49"/>
      <c r="S36"/>
      <c r="T36"/>
      <c r="U36"/>
    </row>
    <row r="37" spans="14:21" ht="15">
      <c r="N37" s="49"/>
      <c r="O37" s="49"/>
      <c r="P37" s="49"/>
      <c r="Q37" s="49"/>
      <c r="S37"/>
      <c r="T37"/>
      <c r="U37"/>
    </row>
    <row r="38" spans="14:21" ht="15">
      <c r="N38" s="49"/>
      <c r="O38" s="49"/>
      <c r="P38" s="49"/>
      <c r="Q38" s="49"/>
      <c r="S38"/>
      <c r="T38"/>
      <c r="U38"/>
    </row>
    <row r="39" spans="14:21" ht="15">
      <c r="N39" s="49"/>
      <c r="O39" s="49"/>
      <c r="P39" s="49"/>
      <c r="Q39" s="49"/>
      <c r="S39"/>
      <c r="T39"/>
      <c r="U39"/>
    </row>
    <row r="40" spans="2:21" ht="30.75" customHeight="1">
      <c r="B40" s="50" t="s">
        <v>65</v>
      </c>
      <c r="C40" s="160"/>
      <c r="D40" s="160"/>
      <c r="E40" s="160"/>
      <c r="F40" s="160"/>
      <c r="G40" s="160"/>
      <c r="H40" s="160"/>
      <c r="I40" s="160"/>
      <c r="J40" s="160"/>
      <c r="K40" s="160"/>
      <c r="N40" s="49"/>
      <c r="O40" s="49"/>
      <c r="P40" s="49"/>
      <c r="Q40" s="49"/>
      <c r="S40"/>
      <c r="T40"/>
      <c r="U40"/>
    </row>
    <row r="41" spans="2:21" ht="13.5" customHeight="1">
      <c r="B41" s="124" t="s">
        <v>52</v>
      </c>
      <c r="C41" s="83" t="s">
        <v>206</v>
      </c>
      <c r="D41" s="148" t="s">
        <v>15</v>
      </c>
      <c r="E41" s="83" t="s">
        <v>99</v>
      </c>
      <c r="G41" s="83" t="s">
        <v>117</v>
      </c>
      <c r="H41" s="83"/>
      <c r="I41" s="83"/>
      <c r="L41" t="s">
        <v>230</v>
      </c>
      <c r="N41" s="49"/>
      <c r="O41" s="49"/>
      <c r="P41" s="49"/>
      <c r="Q41" s="49"/>
      <c r="S41"/>
      <c r="T41"/>
      <c r="U41"/>
    </row>
    <row r="42" spans="2:21" ht="15">
      <c r="B42" s="5" t="s">
        <v>170</v>
      </c>
      <c r="C42" s="60">
        <f>C6/1000</f>
        <v>482.993</v>
      </c>
      <c r="D42" s="60">
        <f>E6/1000</f>
        <v>175.312</v>
      </c>
      <c r="E42" s="60">
        <f>MAX(C42:D42)</f>
        <v>482.993</v>
      </c>
      <c r="G42" t="str">
        <f>B42</f>
        <v>per 1000 youth</v>
      </c>
      <c r="L42" s="134">
        <v>1000</v>
      </c>
      <c r="M42" s="134"/>
      <c r="N42" s="49"/>
      <c r="O42" s="49"/>
      <c r="P42" s="49"/>
      <c r="Q42" s="49"/>
      <c r="S42"/>
      <c r="T42"/>
      <c r="U42"/>
    </row>
    <row r="43" spans="2:21" ht="15">
      <c r="B43" s="5" t="s">
        <v>167</v>
      </c>
      <c r="C43" s="60">
        <f>C7/100</f>
        <v>0</v>
      </c>
      <c r="D43" s="60">
        <f>E7/100</f>
        <v>0</v>
      </c>
      <c r="E43" s="60">
        <f>MAX(C43:D43,0)</f>
        <v>0</v>
      </c>
      <c r="G43" t="str">
        <f>B43</f>
        <v>per 100 arrests</v>
      </c>
      <c r="L43" s="134">
        <v>100</v>
      </c>
      <c r="M43" s="134"/>
      <c r="N43" s="49"/>
      <c r="O43" s="49"/>
      <c r="P43" s="49"/>
      <c r="Q43" s="49"/>
      <c r="S43"/>
      <c r="T43"/>
      <c r="U43"/>
    </row>
    <row r="44" spans="2:21" ht="15">
      <c r="B44" s="5" t="s">
        <v>95</v>
      </c>
      <c r="C44" s="60">
        <f>C8/100</f>
        <v>186.77</v>
      </c>
      <c r="D44" s="60">
        <f>E8/100</f>
        <v>185.64</v>
      </c>
      <c r="E44" s="60">
        <f>MAX(C44:D44,0)</f>
        <v>186.77</v>
      </c>
      <c r="G44" t="str">
        <f>B44</f>
        <v>per 100 referrals</v>
      </c>
      <c r="L44" s="134">
        <v>100</v>
      </c>
      <c r="M44" s="134"/>
      <c r="N44" s="49"/>
      <c r="O44" s="49"/>
      <c r="P44" s="49"/>
      <c r="Q44" s="49"/>
      <c r="S44"/>
      <c r="T44"/>
      <c r="U44"/>
    </row>
    <row r="45" spans="2:21" ht="15">
      <c r="B45" s="88" t="s">
        <v>84</v>
      </c>
      <c r="C45" s="128">
        <f>C11/100</f>
        <v>123.74</v>
      </c>
      <c r="D45" s="128">
        <f>E11/100</f>
        <v>131.7</v>
      </c>
      <c r="E45" s="60">
        <f>MAX(C45:D45,0)</f>
        <v>131.7</v>
      </c>
      <c r="G45" t="str">
        <f>B45</f>
        <v>per 100 youth petitioned</v>
      </c>
      <c r="L45" s="134">
        <v>100</v>
      </c>
      <c r="M45" s="134"/>
      <c r="N45" s="49"/>
      <c r="O45" s="49"/>
      <c r="P45" s="49"/>
      <c r="Q45" s="49"/>
      <c r="S45"/>
      <c r="T45"/>
      <c r="U45"/>
    </row>
    <row r="46" spans="2:21" ht="15">
      <c r="B46" s="88" t="s">
        <v>187</v>
      </c>
      <c r="C46" s="128">
        <f>C12/100</f>
        <v>33.16</v>
      </c>
      <c r="D46" s="128">
        <f>E12/100</f>
        <v>46.38</v>
      </c>
      <c r="E46" s="60">
        <f>MAX(C46:D46)</f>
        <v>46.38</v>
      </c>
      <c r="G46" t="str">
        <f>B46</f>
        <v>per 100 youth found delinquent</v>
      </c>
      <c r="L46" s="134">
        <v>100</v>
      </c>
      <c r="M46" s="134"/>
      <c r="N46" s="49"/>
      <c r="O46" s="49"/>
      <c r="P46" s="49"/>
      <c r="Q46" s="49"/>
      <c r="S46"/>
      <c r="T46"/>
      <c r="U46"/>
    </row>
    <row r="47" spans="2:21" ht="15">
      <c r="B47" s="160"/>
      <c r="C47" s="160"/>
      <c r="D47" s="160"/>
      <c r="E47" s="160"/>
      <c r="L47" s="134"/>
      <c r="M47" s="134"/>
      <c r="N47" s="49"/>
      <c r="O47" s="49"/>
      <c r="P47" s="49"/>
      <c r="Q47" s="49"/>
      <c r="S47"/>
      <c r="T47"/>
      <c r="U47"/>
    </row>
    <row r="48" spans="2:21" ht="15">
      <c r="B48" s="128" t="str">
        <f>B42</f>
        <v>per 1000 youth</v>
      </c>
      <c r="C48" s="60">
        <f>C42</f>
        <v>482.993</v>
      </c>
      <c r="D48" s="60">
        <f>D42</f>
        <v>175.312</v>
      </c>
      <c r="E48" s="60">
        <f>MAX(C48:D48)</f>
        <v>482.993</v>
      </c>
      <c r="G48" t="str">
        <f>G42</f>
        <v>per 1000 youth</v>
      </c>
      <c r="L48" s="2">
        <f>L42</f>
        <v>1000</v>
      </c>
      <c r="M48" s="2"/>
      <c r="N48" s="162"/>
      <c r="O48" s="162"/>
      <c r="P48" s="162"/>
      <c r="Q48" s="162"/>
      <c r="S48"/>
      <c r="T48"/>
      <c r="U48"/>
    </row>
    <row r="49" spans="2:21" ht="15">
      <c r="B49" s="5" t="str">
        <f aca="true" t="shared" si="8" ref="B49:D50">IF(($E43&gt;0),B43,B42)</f>
        <v>per 1000 youth</v>
      </c>
      <c r="C49" s="5">
        <f t="shared" si="8"/>
        <v>482.993</v>
      </c>
      <c r="D49" s="5">
        <f t="shared" si="8"/>
        <v>175.312</v>
      </c>
      <c r="E49" s="128">
        <f>MAX(C49:D49)</f>
        <v>482.993</v>
      </c>
      <c r="G49" t="str">
        <f>G43</f>
        <v>per 100 arrests</v>
      </c>
      <c r="L49" s="39">
        <f>IF(($E43&gt;0),L43,L42)</f>
        <v>1000</v>
      </c>
      <c r="M49" s="39"/>
      <c r="N49" s="162"/>
      <c r="O49" s="162"/>
      <c r="P49" s="162"/>
      <c r="Q49" s="162"/>
      <c r="S49"/>
      <c r="T49"/>
      <c r="U49"/>
    </row>
    <row r="50" spans="2:21" ht="15">
      <c r="B50" s="5" t="str">
        <f t="shared" si="8"/>
        <v>per 100 referrals</v>
      </c>
      <c r="C50" s="5">
        <f t="shared" si="8"/>
        <v>186.77</v>
      </c>
      <c r="D50" s="5">
        <f t="shared" si="8"/>
        <v>185.64</v>
      </c>
      <c r="E50" s="128">
        <f>MAX(C50:D50)</f>
        <v>186.77</v>
      </c>
      <c r="G50" t="str">
        <f>G44</f>
        <v>per 100 referrals</v>
      </c>
      <c r="L50" s="39">
        <f>IF(($E44&gt;0),L44,L43)</f>
        <v>100</v>
      </c>
      <c r="M50" s="39"/>
      <c r="N50" s="162"/>
      <c r="O50" s="162"/>
      <c r="P50" s="162"/>
      <c r="Q50" s="162"/>
      <c r="S50"/>
      <c r="T50"/>
      <c r="U50"/>
    </row>
    <row r="51" spans="2:21" ht="15">
      <c r="B51" s="5" t="str">
        <f>IF(($E45&gt;0),B45,B43)</f>
        <v>per 100 youth petitioned</v>
      </c>
      <c r="C51" s="5">
        <f>IF(($E45&gt;0),C45,C44)</f>
        <v>123.74</v>
      </c>
      <c r="D51" s="5">
        <f>IF(($E45&gt;0),D45,D44)</f>
        <v>131.7</v>
      </c>
      <c r="E51" s="128">
        <f>MAX(C51:D51)</f>
        <v>131.7</v>
      </c>
      <c r="G51" t="str">
        <f>G45</f>
        <v>per 100 youth petitioned</v>
      </c>
      <c r="L51" s="39">
        <f>IF(($E45&gt;0),L45,L44)</f>
        <v>100</v>
      </c>
      <c r="M51" s="39"/>
      <c r="N51" s="49"/>
      <c r="O51" s="49"/>
      <c r="P51" s="49"/>
      <c r="Q51" s="49"/>
      <c r="S51"/>
      <c r="T51"/>
      <c r="U51"/>
    </row>
    <row r="52" spans="2:21" ht="15">
      <c r="B52" s="128" t="str">
        <f>IF(($E46&gt;0),B46,B45)</f>
        <v>per 100 youth found delinquent</v>
      </c>
      <c r="C52" s="128">
        <f>IF(($E46&gt;0),C46,C45)</f>
        <v>33.16</v>
      </c>
      <c r="D52" s="128">
        <f>IF(($E46&gt;0),D46,D45)</f>
        <v>46.38</v>
      </c>
      <c r="E52" s="60">
        <f>MAX(C52:D52)</f>
        <v>46.38</v>
      </c>
      <c r="G52" t="str">
        <f>G46</f>
        <v>per 100 youth found delinquent</v>
      </c>
      <c r="L52" s="39">
        <f>IF(($E46&gt;0),L46,L45)</f>
        <v>100</v>
      </c>
      <c r="M52" s="39"/>
      <c r="N52" s="49"/>
      <c r="O52" s="49"/>
      <c r="P52" s="49"/>
      <c r="Q52" s="49"/>
      <c r="S52"/>
      <c r="T52"/>
      <c r="U52"/>
    </row>
    <row r="53" spans="2:21" ht="15">
      <c r="B53" s="5"/>
      <c r="C53" s="128"/>
      <c r="D53" s="128"/>
      <c r="E53" s="128"/>
      <c r="L53" s="134"/>
      <c r="M53" s="134"/>
      <c r="N53" s="49"/>
      <c r="O53" s="49"/>
      <c r="P53" s="49"/>
      <c r="Q53" s="49"/>
      <c r="S53"/>
      <c r="T53"/>
      <c r="U53"/>
    </row>
    <row r="54" spans="2:21" ht="15">
      <c r="B54" s="128" t="str">
        <f>B48</f>
        <v>per 1000 youth</v>
      </c>
      <c r="C54" s="60">
        <f>C48</f>
        <v>482.993</v>
      </c>
      <c r="D54" s="60">
        <f>D48</f>
        <v>175.312</v>
      </c>
      <c r="E54" s="60">
        <f>MAX(C54:D54)</f>
        <v>482.993</v>
      </c>
      <c r="G54" t="str">
        <f>G48</f>
        <v>per 1000 youth</v>
      </c>
      <c r="L54" s="2">
        <f>L48</f>
        <v>1000</v>
      </c>
      <c r="M54" s="2"/>
      <c r="N54" s="49"/>
      <c r="O54" s="49"/>
      <c r="P54" s="49"/>
      <c r="Q54" s="49"/>
      <c r="S54"/>
      <c r="T54"/>
      <c r="U54"/>
    </row>
    <row r="55" spans="2:21" ht="15">
      <c r="B55" s="5" t="str">
        <f aca="true" t="shared" si="9" ref="B55:D56">IF(($E49&gt;0),B49,B48)</f>
        <v>per 1000 youth</v>
      </c>
      <c r="C55" s="5">
        <f t="shared" si="9"/>
        <v>482.993</v>
      </c>
      <c r="D55" s="5">
        <f t="shared" si="9"/>
        <v>175.312</v>
      </c>
      <c r="E55" s="128">
        <f>MAX(C55:D55)</f>
        <v>482.993</v>
      </c>
      <c r="G55" t="str">
        <f>G49</f>
        <v>per 100 arrests</v>
      </c>
      <c r="L55" s="39">
        <f>IF(($E49&gt;0),L49,L48)</f>
        <v>1000</v>
      </c>
      <c r="M55" s="39"/>
      <c r="N55" s="49"/>
      <c r="O55" s="49"/>
      <c r="P55" s="49"/>
      <c r="Q55" s="49"/>
      <c r="S55"/>
      <c r="T55"/>
      <c r="U55"/>
    </row>
    <row r="56" spans="2:21" ht="15">
      <c r="B56" s="5" t="str">
        <f t="shared" si="9"/>
        <v>per 100 referrals</v>
      </c>
      <c r="C56" s="5">
        <f t="shared" si="9"/>
        <v>186.77</v>
      </c>
      <c r="D56" s="5">
        <f t="shared" si="9"/>
        <v>185.64</v>
      </c>
      <c r="E56" s="128">
        <f>MAX(C56:D56)</f>
        <v>186.77</v>
      </c>
      <c r="G56" t="str">
        <f>G50</f>
        <v>per 100 referrals</v>
      </c>
      <c r="L56" s="39">
        <f>IF(($E50&gt;0),L50,L49)</f>
        <v>100</v>
      </c>
      <c r="M56" s="39"/>
      <c r="N56" s="49"/>
      <c r="O56" s="49"/>
      <c r="P56" s="49"/>
      <c r="Q56" s="49"/>
      <c r="S56"/>
      <c r="T56"/>
      <c r="U56"/>
    </row>
    <row r="57" spans="2:21" ht="15">
      <c r="B57" s="5" t="str">
        <f>IF(($E51&gt;0),B51,B49)</f>
        <v>per 100 youth petitioned</v>
      </c>
      <c r="C57" s="5">
        <f>IF(($E51&gt;0),C51,C50)</f>
        <v>123.74</v>
      </c>
      <c r="D57" s="5">
        <f>IF(($E51&gt;0),D51,D50)</f>
        <v>131.7</v>
      </c>
      <c r="E57" s="128">
        <f>MAX(C57:D57)</f>
        <v>131.7</v>
      </c>
      <c r="G57" t="str">
        <f>G51</f>
        <v>per 100 youth petitioned</v>
      </c>
      <c r="L57" s="39">
        <f>IF(($E51&gt;0),L51,L50)</f>
        <v>100</v>
      </c>
      <c r="M57" s="39"/>
      <c r="N57" s="49"/>
      <c r="O57" s="49"/>
      <c r="P57" s="49"/>
      <c r="Q57" s="49"/>
      <c r="S57"/>
      <c r="T57"/>
      <c r="U57"/>
    </row>
    <row r="58" spans="2:21" ht="15">
      <c r="B58" s="128" t="str">
        <f>IF(($E52&gt;0),B52,B51)</f>
        <v>per 100 youth found delinquent</v>
      </c>
      <c r="C58" s="128">
        <f>IF(($E52&gt;0),C52,C51)</f>
        <v>33.16</v>
      </c>
      <c r="D58" s="128">
        <f>IF(($E52&gt;0),D52,D51)</f>
        <v>46.38</v>
      </c>
      <c r="E58" s="60">
        <f>MAX(C58:D58)</f>
        <v>46.38</v>
      </c>
      <c r="G58" t="str">
        <f>G52</f>
        <v>per 100 youth found delinquent</v>
      </c>
      <c r="L58" s="2">
        <f>IF(($E52&gt;0),L52,L51)</f>
        <v>100</v>
      </c>
      <c r="M58" s="2"/>
      <c r="N58" s="49"/>
      <c r="O58" s="49"/>
      <c r="P58" s="49"/>
      <c r="Q58" s="49"/>
      <c r="S58"/>
      <c r="T58"/>
      <c r="U58"/>
    </row>
    <row r="59" spans="2:21" ht="15">
      <c r="B59" s="128"/>
      <c r="C59" s="128"/>
      <c r="D59" s="128"/>
      <c r="E59" s="128"/>
      <c r="L59" s="134"/>
      <c r="M59" s="134"/>
      <c r="N59" s="49"/>
      <c r="O59" s="49"/>
      <c r="P59" s="49"/>
      <c r="Q59" s="49"/>
      <c r="S59"/>
      <c r="T59"/>
      <c r="U59"/>
    </row>
    <row r="60" spans="2:21" ht="15">
      <c r="B60" s="128" t="str">
        <f>B54</f>
        <v>per 1000 youth</v>
      </c>
      <c r="C60" s="60">
        <f>C54</f>
        <v>482.993</v>
      </c>
      <c r="D60" s="60">
        <f>D54</f>
        <v>175.312</v>
      </c>
      <c r="E60" s="60">
        <f>MAX(C60:D60)</f>
        <v>482.993</v>
      </c>
      <c r="G60" t="str">
        <f>G54</f>
        <v>per 1000 youth</v>
      </c>
      <c r="L60" s="2">
        <f>L54</f>
        <v>1000</v>
      </c>
      <c r="M60" s="2"/>
      <c r="N60" s="49"/>
      <c r="O60" s="49"/>
      <c r="P60" s="49"/>
      <c r="Q60" s="49"/>
      <c r="S60"/>
      <c r="T60"/>
      <c r="U60"/>
    </row>
    <row r="61" spans="2:21" ht="15">
      <c r="B61" s="5" t="str">
        <f aca="true" t="shared" si="10" ref="B61:D62">IF(($E55&gt;0),B55,B54)</f>
        <v>per 1000 youth</v>
      </c>
      <c r="C61" s="5">
        <f t="shared" si="10"/>
        <v>482.993</v>
      </c>
      <c r="D61" s="5">
        <f t="shared" si="10"/>
        <v>175.312</v>
      </c>
      <c r="E61" s="128">
        <f>MAX(C61:D61)</f>
        <v>482.993</v>
      </c>
      <c r="G61" t="str">
        <f>G55</f>
        <v>per 100 arrests</v>
      </c>
      <c r="L61" s="39">
        <f>IF(($E55&gt;0),L55,L54)</f>
        <v>1000</v>
      </c>
      <c r="M61" s="39"/>
      <c r="N61" s="49"/>
      <c r="O61" s="49"/>
      <c r="P61" s="49"/>
      <c r="Q61" s="49"/>
      <c r="S61"/>
      <c r="T61"/>
      <c r="U61"/>
    </row>
    <row r="62" spans="2:21" ht="15">
      <c r="B62" s="5" t="str">
        <f t="shared" si="10"/>
        <v>per 100 referrals</v>
      </c>
      <c r="C62" s="5">
        <f t="shared" si="10"/>
        <v>186.77</v>
      </c>
      <c r="D62" s="5">
        <f t="shared" si="10"/>
        <v>185.64</v>
      </c>
      <c r="E62" s="128">
        <f>MAX(C62:D62)</f>
        <v>186.77</v>
      </c>
      <c r="G62" t="str">
        <f>G56</f>
        <v>per 100 referrals</v>
      </c>
      <c r="L62" s="39">
        <f>IF(($E56&gt;0),L56,L55)</f>
        <v>100</v>
      </c>
      <c r="M62" s="39"/>
      <c r="N62" s="49"/>
      <c r="O62" s="49"/>
      <c r="P62" s="49"/>
      <c r="Q62" s="49"/>
      <c r="S62"/>
      <c r="T62"/>
      <c r="U62"/>
    </row>
    <row r="63" spans="2:21" ht="15">
      <c r="B63" s="5" t="str">
        <f>IF(($E57&gt;0),B57,B55)</f>
        <v>per 100 youth petitioned</v>
      </c>
      <c r="C63" s="5">
        <f>IF(($E57&gt;0),C57,C56)</f>
        <v>123.74</v>
      </c>
      <c r="D63" s="5">
        <f>IF(($E57&gt;0),D57,D56)</f>
        <v>131.7</v>
      </c>
      <c r="E63" s="128">
        <f>MAX(C63:D63)</f>
        <v>131.7</v>
      </c>
      <c r="G63" t="str">
        <f>G57</f>
        <v>per 100 youth petitioned</v>
      </c>
      <c r="L63" s="39">
        <f>IF(($E57&gt;0),L57,L56)</f>
        <v>100</v>
      </c>
      <c r="M63" s="39"/>
      <c r="N63" s="49"/>
      <c r="O63" s="49"/>
      <c r="P63" s="49"/>
      <c r="Q63" s="49"/>
      <c r="S63"/>
      <c r="T63"/>
      <c r="U63"/>
    </row>
    <row r="64" spans="2:21" ht="15">
      <c r="B64" s="128" t="str">
        <f>IF(($E58&gt;0),B58,B57)</f>
        <v>per 100 youth found delinquent</v>
      </c>
      <c r="C64" s="128">
        <f>IF(($E58&gt;0),C58,C57)</f>
        <v>33.16</v>
      </c>
      <c r="D64" s="128">
        <f>IF(($E58&gt;0),D58,D57)</f>
        <v>46.38</v>
      </c>
      <c r="E64" s="60">
        <f>MAX(C64:D64)</f>
        <v>46.38</v>
      </c>
      <c r="G64" t="str">
        <f>G58</f>
        <v>per 100 youth found delinquent</v>
      </c>
      <c r="L64" s="2">
        <f>IF(($E58&gt;0),L58,L57)</f>
        <v>100</v>
      </c>
      <c r="M64" s="2"/>
      <c r="N64" s="49"/>
      <c r="O64" s="49"/>
      <c r="P64" s="49"/>
      <c r="Q64" s="49"/>
      <c r="S64"/>
      <c r="T64"/>
      <c r="U64"/>
    </row>
    <row r="65" spans="2:21" ht="15">
      <c r="B65" s="171" t="s">
        <v>224</v>
      </c>
      <c r="L65" s="134"/>
      <c r="M65" s="134"/>
      <c r="N65" s="49"/>
      <c r="O65" s="49"/>
      <c r="P65" s="49"/>
      <c r="Q65" s="49"/>
      <c r="S65"/>
      <c r="T65"/>
      <c r="U65"/>
    </row>
    <row r="66" spans="2:21" ht="15">
      <c r="B66" s="128" t="str">
        <f>B60</f>
        <v>per 1000 youth</v>
      </c>
      <c r="C66" s="60">
        <f>C60</f>
        <v>482.993</v>
      </c>
      <c r="D66" s="60">
        <f>D60</f>
        <v>175.312</v>
      </c>
      <c r="E66" s="60">
        <f>MAX(C66:D66)</f>
        <v>482.993</v>
      </c>
      <c r="G66" t="str">
        <f>G60</f>
        <v>per 1000 youth</v>
      </c>
      <c r="L66" s="2">
        <f>L60</f>
        <v>1000</v>
      </c>
      <c r="M66" s="2">
        <f>IF((B66=G66),1,2)</f>
        <v>1</v>
      </c>
      <c r="N66" s="49"/>
      <c r="O66" s="49"/>
      <c r="P66" s="49"/>
      <c r="Q66" s="49"/>
      <c r="S66"/>
      <c r="T66"/>
      <c r="U66"/>
    </row>
    <row r="67" spans="2:21" ht="15">
      <c r="B67" s="5" t="str">
        <f aca="true" t="shared" si="11" ref="B67:D68">IF(($E61&gt;0),B61,B60)</f>
        <v>per 1000 youth</v>
      </c>
      <c r="C67" s="5">
        <f t="shared" si="11"/>
        <v>482.993</v>
      </c>
      <c r="D67" s="5">
        <f t="shared" si="11"/>
        <v>175.312</v>
      </c>
      <c r="E67" s="128">
        <f>MAX(C67:D67)</f>
        <v>482.993</v>
      </c>
      <c r="G67" t="str">
        <f>G61</f>
        <v>per 100 arrests</v>
      </c>
      <c r="L67" s="39">
        <f>IF(($E61&gt;0),L61,L60)</f>
        <v>1000</v>
      </c>
      <c r="M67" s="2">
        <f>IF((B67=G67),1,2)</f>
        <v>2</v>
      </c>
      <c r="N67" s="49"/>
      <c r="O67" s="49"/>
      <c r="P67" s="49"/>
      <c r="Q67" s="49"/>
      <c r="S67"/>
      <c r="T67"/>
      <c r="U67"/>
    </row>
    <row r="68" spans="2:21" ht="15">
      <c r="B68" s="5" t="str">
        <f t="shared" si="11"/>
        <v>per 100 referrals</v>
      </c>
      <c r="C68" s="5">
        <f t="shared" si="11"/>
        <v>186.77</v>
      </c>
      <c r="D68" s="5">
        <f t="shared" si="11"/>
        <v>185.64</v>
      </c>
      <c r="E68" s="128">
        <f>MAX(C68:D68)</f>
        <v>186.77</v>
      </c>
      <c r="G68" t="str">
        <f>G62</f>
        <v>per 100 referrals</v>
      </c>
      <c r="L68" s="39">
        <f>IF(($E62&gt;0),L62,L61)</f>
        <v>100</v>
      </c>
      <c r="M68" s="2">
        <f>IF((B68=G68),1,2)</f>
        <v>1</v>
      </c>
      <c r="N68" s="49"/>
      <c r="O68" s="49"/>
      <c r="P68" s="49"/>
      <c r="Q68" s="49"/>
      <c r="S68"/>
      <c r="T68"/>
      <c r="U68"/>
    </row>
    <row r="69" spans="2:21" ht="15">
      <c r="B69" s="5" t="str">
        <f>IF(($E63&gt;0),B63,B61)</f>
        <v>per 100 youth petitioned</v>
      </c>
      <c r="C69" s="5">
        <f>IF(($E63&gt;0),C63,C62)</f>
        <v>123.74</v>
      </c>
      <c r="D69" s="5">
        <f>IF(($E63&gt;0),D63,D62)</f>
        <v>131.7</v>
      </c>
      <c r="E69" s="128">
        <f>MAX(C69:D69)</f>
        <v>131.7</v>
      </c>
      <c r="G69" t="str">
        <f>G63</f>
        <v>per 100 youth petitioned</v>
      </c>
      <c r="L69" s="39">
        <f>IF(($E63&gt;0),L63,L62)</f>
        <v>100</v>
      </c>
      <c r="M69" s="2">
        <f>IF((B69=G69),1,2)</f>
        <v>1</v>
      </c>
      <c r="N69" s="49"/>
      <c r="O69" s="49"/>
      <c r="P69" s="49"/>
      <c r="Q69" s="49"/>
      <c r="S69"/>
      <c r="T69"/>
      <c r="U69"/>
    </row>
    <row r="70" spans="2:21" ht="15">
      <c r="B70" s="128" t="str">
        <f>IF(($E64&gt;0),B64,B63)</f>
        <v>per 100 youth found delinquent</v>
      </c>
      <c r="C70" s="128">
        <f>IF(($E64&gt;0),C64,C63)</f>
        <v>33.16</v>
      </c>
      <c r="D70" s="128">
        <f>IF(($E64&gt;0),D64,D63)</f>
        <v>46.38</v>
      </c>
      <c r="E70" s="60">
        <f>MAX(C70:D70)</f>
        <v>46.38</v>
      </c>
      <c r="G70" t="str">
        <f>G64</f>
        <v>per 100 youth found delinquent</v>
      </c>
      <c r="L70" s="2">
        <f>IF(($E64&gt;0),L64,L63)</f>
        <v>100</v>
      </c>
      <c r="M70" s="2">
        <f>IF((B70=G70),1,2)</f>
        <v>1</v>
      </c>
      <c r="N70" s="49"/>
      <c r="O70" s="49"/>
      <c r="P70" s="49"/>
      <c r="Q70" s="49"/>
      <c r="S70"/>
      <c r="T70"/>
      <c r="U70"/>
    </row>
    <row r="71" spans="14:21" ht="15">
      <c r="N71" s="49"/>
      <c r="O71" s="49"/>
      <c r="P71" s="49"/>
      <c r="Q71" s="49"/>
      <c r="S71"/>
      <c r="T71"/>
      <c r="U71"/>
    </row>
    <row r="72" spans="14:21" ht="15">
      <c r="N72" s="49"/>
      <c r="O72" s="49"/>
      <c r="P72" s="49"/>
      <c r="Q72" s="49"/>
      <c r="S72"/>
      <c r="T72"/>
      <c r="U72"/>
    </row>
    <row r="73" spans="14:21" ht="15">
      <c r="N73" s="49"/>
      <c r="O73" s="49"/>
      <c r="P73" s="49"/>
      <c r="Q73" s="49"/>
      <c r="S73"/>
      <c r="T73"/>
      <c r="U73"/>
    </row>
    <row r="74" spans="14:21" ht="15">
      <c r="N74" s="49"/>
      <c r="O74" s="49"/>
      <c r="P74" s="49"/>
      <c r="Q74" s="49"/>
      <c r="S74"/>
      <c r="T74"/>
      <c r="U74"/>
    </row>
    <row r="82" ht="15">
      <c r="B82" s="92"/>
    </row>
    <row r="83" ht="15">
      <c r="B83" s="31"/>
    </row>
  </sheetData>
  <mergeCells count="6">
    <mergeCell ref="W2:Z3"/>
    <mergeCell ref="R1:U4"/>
    <mergeCell ref="N2:Q4"/>
    <mergeCell ref="B40:J40"/>
    <mergeCell ref="C2:D2"/>
    <mergeCell ref="C3:D3"/>
  </mergeCells>
  <conditionalFormatting sqref="G8:G15">
    <cfRule type="expression" priority="1" dxfId="0" stopIfTrue="1">
      <formula>$L8=1</formula>
    </cfRule>
    <cfRule type="expression" priority="2" dxfId="1" stopIfTrue="1">
      <formula>$L8=2</formula>
    </cfRule>
    <cfRule type="expression" priority="3" dxfId="2" stopIfTrue="1">
      <formula>$L8&gt;3</formula>
    </cfRule>
  </conditionalFormatting>
  <conditionalFormatting sqref="F27">
    <cfRule type="expression" priority="4" dxfId="3" stopIfTrue="1">
      <formula>M66=2</formula>
    </cfRule>
  </conditionalFormatting>
  <conditionalFormatting sqref="F30">
    <cfRule type="expression" priority="5" dxfId="0" stopIfTrue="1">
      <formula>M68=2</formula>
    </cfRule>
  </conditionalFormatting>
  <conditionalFormatting sqref="F28">
    <cfRule type="expression" priority="6" dxfId="0" stopIfTrue="1">
      <formula>M67=2</formula>
    </cfRule>
  </conditionalFormatting>
  <conditionalFormatting sqref="F29">
    <cfRule type="expression" priority="7" dxfId="0" stopIfTrue="1">
      <formula>M68=2</formula>
    </cfRule>
  </conditionalFormatting>
  <conditionalFormatting sqref="F31">
    <cfRule type="expression" priority="8" dxfId="0" stopIfTrue="1">
      <formula>M68=2</formula>
    </cfRule>
  </conditionalFormatting>
  <conditionalFormatting sqref="F32:F33">
    <cfRule type="expression" priority="9" dxfId="0" stopIfTrue="1">
      <formula>M69=2</formula>
    </cfRule>
  </conditionalFormatting>
  <conditionalFormatting sqref="F34">
    <cfRule type="expression" priority="10" dxfId="0" stopIfTrue="1">
      <formula>M70=2</formula>
    </cfRule>
  </conditionalFormatting>
  <conditionalFormatting sqref="F35">
    <cfRule type="expression" priority="11" dxfId="0" stopIfTrue="1">
      <formula>M69=2</formula>
    </cfRule>
  </conditionalFormatting>
  <conditionalFormatting sqref="B86">
    <cfRule type="expression" priority="12" dxfId="0" stopIfTrue="1">
      <formula>$D$83=2</formula>
    </cfRule>
  </conditionalFormatting>
  <conditionalFormatting sqref="G7">
    <cfRule type="expression" priority="13" dxfId="0" stopIfTrue="1">
      <formula>$L7=1</formula>
    </cfRule>
    <cfRule type="expression" priority="14" dxfId="1" stopIfTrue="1">
      <formula>$L7=2</formula>
    </cfRule>
    <cfRule type="expression" priority="15" dxfId="2" stopIfTrue="1">
      <formula>$L7&gt;3</formula>
    </cfRule>
  </conditionalFormatting>
  <conditionalFormatting sqref="G16">
    <cfRule type="expression" priority="16" dxfId="0" stopIfTrue="1">
      <formula>$L16=1</formula>
    </cfRule>
    <cfRule type="expression" priority="17" dxfId="1" stopIfTrue="1">
      <formula>$L16=2</formula>
    </cfRule>
    <cfRule type="expression" priority="18" dxfId="2" stopIfTrue="1">
      <formula>$L16&gt;3</formula>
    </cfRule>
  </conditionalFormatting>
  <conditionalFormatting sqref="F36">
    <cfRule type="expression" priority="19" dxfId="0" stopIfTrue="1">
      <formula>M70=2</formula>
    </cfRule>
  </conditionalFormatting>
  <printOptions/>
  <pageMargins left="0.57" right="0.17" top="0.75" bottom="0.5" header="0" footer="0"/>
  <pageSetup horizontalDpi="300" verticalDpi="300" orientation="portrait"/>
</worksheet>
</file>

<file path=xl/worksheets/sheet4.xml><?xml version="1.0" encoding="utf-8"?>
<worksheet xmlns="http://schemas.openxmlformats.org/spreadsheetml/2006/main" xmlns:r="http://schemas.openxmlformats.org/officeDocument/2006/relationships">
  <dimension ref="B1:W83"/>
  <sheetViews>
    <sheetView showGridLines="0" showRowColHeaders="0" zoomScale="95" zoomScaleNormal="95" workbookViewId="0" topLeftCell="A1">
      <selection activeCell="B16" sqref="B16"/>
    </sheetView>
  </sheetViews>
  <sheetFormatPr defaultColWidth="9.140625" defaultRowHeight="15"/>
  <cols>
    <col min="1" max="1" width="2.57421875" style="0" customWidth="1"/>
    <col min="2" max="2" width="45.7109375" style="0" customWidth="1"/>
    <col min="3" max="3" width="10.57421875" style="0" hidden="1" customWidth="1"/>
    <col min="4" max="4" width="15.7109375" style="0" customWidth="1"/>
    <col min="5" max="5" width="15.7109375" style="0" hidden="1" customWidth="1"/>
    <col min="6" max="6" width="16.421875" style="0" customWidth="1"/>
    <col min="7" max="7" width="15.7109375" style="0" customWidth="1"/>
    <col min="8" max="8" width="8.00390625" style="0" hidden="1" customWidth="1"/>
    <col min="9" max="9" width="7.8515625" style="0" hidden="1" customWidth="1"/>
    <col min="10" max="10" width="8.00390625" style="0" hidden="1" customWidth="1"/>
    <col min="11" max="11" width="8.8515625" style="0" hidden="1" customWidth="1"/>
    <col min="12" max="13" width="9.140625" style="0" hidden="1" customWidth="1"/>
    <col min="14" max="14" width="9.8515625" style="0" hidden="1" customWidth="1"/>
    <col min="15" max="15" width="7.8515625" style="0" hidden="1" customWidth="1"/>
    <col min="16" max="16" width="10.00390625" style="0" hidden="1" customWidth="1"/>
    <col min="17" max="18" width="8.8515625" style="0" hidden="1" customWidth="1"/>
    <col min="19" max="20" width="12.57421875" style="28" hidden="1" customWidth="1"/>
    <col min="21" max="21" width="12.00390625" style="40" hidden="1" customWidth="1"/>
    <col min="22" max="23" width="9.140625" style="0" customWidth="1"/>
    <col min="24" max="27" width="8.8515625" style="0" customWidth="1"/>
  </cols>
  <sheetData>
    <row r="1" spans="2:21" ht="27.75" customHeight="1">
      <c r="B1" s="38" t="s">
        <v>218</v>
      </c>
      <c r="F1" s="120" t="s">
        <v>126</v>
      </c>
      <c r="G1" s="122" t="str">
        <f>'Data Entry'!E5</f>
        <v>Hispanic or Latino</v>
      </c>
      <c r="H1" s="47"/>
      <c r="I1" s="47"/>
      <c r="J1" s="47"/>
      <c r="K1" s="160"/>
      <c r="N1" s="162"/>
      <c r="O1" s="162"/>
      <c r="P1" s="162"/>
      <c r="Q1" s="162"/>
      <c r="R1" s="56" t="s">
        <v>200</v>
      </c>
      <c r="S1" s="56"/>
      <c r="T1" s="56"/>
      <c r="U1" s="56"/>
    </row>
    <row r="2" spans="2:21" ht="13.5" customHeight="1">
      <c r="B2" s="164" t="str">
        <f>'Data Entry'!A2</f>
        <v>State : Virginia</v>
      </c>
      <c r="C2" s="135" t="str">
        <f>'Data Entry'!C3</f>
        <v> Reporting Period  7/1/2012</v>
      </c>
      <c r="D2" s="119"/>
      <c r="H2" s="32"/>
      <c r="I2" s="32"/>
      <c r="N2" s="166" t="s">
        <v>42</v>
      </c>
      <c r="O2" s="160"/>
      <c r="P2" s="160"/>
      <c r="Q2" s="160"/>
      <c r="R2" s="56"/>
      <c r="S2" s="56"/>
      <c r="T2" s="56"/>
      <c r="U2" s="56"/>
    </row>
    <row r="3" spans="2:21" ht="13.5" customHeight="1">
      <c r="B3" s="164" t="str">
        <f>'Data Entry'!A3</f>
        <v>County : Statewide</v>
      </c>
      <c r="C3" s="85" t="str">
        <f>'Data Entry'!C4</f>
        <v>through  6/30/2013</v>
      </c>
      <c r="D3" s="119"/>
      <c r="E3" s="102"/>
      <c r="F3" s="48" t="s">
        <v>197</v>
      </c>
      <c r="G3" s="48" t="str">
        <f>'Data Entry'!$K$5</f>
        <v>White</v>
      </c>
      <c r="H3" s="33"/>
      <c r="I3" s="33"/>
      <c r="J3" s="33"/>
      <c r="K3" s="33"/>
      <c r="N3" s="160"/>
      <c r="O3" s="160"/>
      <c r="P3" s="160"/>
      <c r="Q3" s="160"/>
      <c r="R3" s="56"/>
      <c r="S3" s="56"/>
      <c r="T3" s="56"/>
      <c r="U3" s="56"/>
    </row>
    <row r="4" spans="2:21" ht="8.25" customHeight="1">
      <c r="B4" s="130"/>
      <c r="C4" s="154"/>
      <c r="D4" s="154"/>
      <c r="E4" s="154"/>
      <c r="F4" s="154"/>
      <c r="G4" s="66"/>
      <c r="H4" s="66"/>
      <c r="I4" s="66"/>
      <c r="J4" s="8"/>
      <c r="K4" s="8"/>
      <c r="N4" s="160"/>
      <c r="O4" s="160"/>
      <c r="P4" s="160"/>
      <c r="Q4" s="160"/>
      <c r="R4" s="56"/>
      <c r="S4" s="56"/>
      <c r="T4" s="56"/>
      <c r="U4" s="56"/>
    </row>
    <row r="5" spans="2:23" ht="66.75" customHeight="1" thickBot="1">
      <c r="B5" s="107" t="s">
        <v>1</v>
      </c>
      <c r="C5" s="20" t="s">
        <v>236</v>
      </c>
      <c r="D5" s="161" t="s">
        <v>189</v>
      </c>
      <c r="E5" s="20" t="s">
        <v>148</v>
      </c>
      <c r="F5" s="20" t="s">
        <v>136</v>
      </c>
      <c r="G5" s="93" t="s">
        <v>98</v>
      </c>
      <c r="H5" s="80"/>
      <c r="I5" s="80"/>
      <c r="J5" s="108" t="s">
        <v>191</v>
      </c>
      <c r="K5" s="73" t="s">
        <v>154</v>
      </c>
      <c r="L5" s="160" t="s">
        <v>70</v>
      </c>
      <c r="M5" s="160" t="s">
        <v>203</v>
      </c>
      <c r="N5" s="153" t="s">
        <v>107</v>
      </c>
      <c r="O5" s="162" t="s">
        <v>125</v>
      </c>
      <c r="P5" s="162" t="s">
        <v>213</v>
      </c>
      <c r="Q5" s="162" t="s">
        <v>227</v>
      </c>
      <c r="R5" t="s">
        <v>32</v>
      </c>
      <c r="S5" s="160" t="s">
        <v>63</v>
      </c>
      <c r="T5" t="s">
        <v>226</v>
      </c>
      <c r="U5" t="s">
        <v>127</v>
      </c>
      <c r="W5" s="160"/>
    </row>
    <row r="6" spans="2:21" ht="20.25" customHeight="1" thickBot="1">
      <c r="B6" s="115" t="str">
        <f>'Data Entry'!A6</f>
        <v>1. Population at risk (age 10  through 17 ) </v>
      </c>
      <c r="C6" s="159">
        <f>'Data Entry'!K6</f>
        <v>482993</v>
      </c>
      <c r="D6" s="156"/>
      <c r="E6" s="159">
        <f>'Data Entry'!E6</f>
        <v>85134</v>
      </c>
      <c r="F6" s="156"/>
      <c r="G6" s="84"/>
      <c r="H6" s="16"/>
      <c r="I6" s="78"/>
      <c r="J6" s="57"/>
      <c r="K6" s="127"/>
      <c r="L6">
        <f>IF(('Data Entry'!E6&gt;('Data Entry'!B6/100)),1,100)</f>
        <v>1</v>
      </c>
      <c r="M6" t="s">
        <v>81</v>
      </c>
      <c r="N6" s="162"/>
      <c r="O6" s="162"/>
      <c r="P6" s="162"/>
      <c r="Q6" s="162"/>
      <c r="S6"/>
      <c r="T6"/>
      <c r="U6"/>
    </row>
    <row r="7" spans="2:21" ht="18" customHeight="1" thickBot="1">
      <c r="B7" s="115" t="str">
        <f>'Data Entry'!A7</f>
        <v>2. Juvenile Arrests </v>
      </c>
      <c r="C7" s="159">
        <f>'Data Entry'!K7</f>
        <v>0</v>
      </c>
      <c r="D7" s="68">
        <f>IF((AND(C66&gt;0,C7&gt;0)),(C7/C66),0)</f>
        <v>0</v>
      </c>
      <c r="E7" s="159">
        <f>'Data Entry'!E7</f>
        <v>0</v>
      </c>
      <c r="F7" s="68">
        <f>IF((AND($E$7&gt;0,$D$66&gt;0)),($E$7/$D$66),0)</f>
        <v>0</v>
      </c>
      <c r="G7" s="138" t="str">
        <f aca="true" t="shared" si="0" ref="G7:G15">IF(L$6=100,"*",IF(M7=FALSE,"--",IF(K7=20,"**",($F7/$D7))))</f>
        <v>**</v>
      </c>
      <c r="H7" s="55"/>
      <c r="I7" s="64"/>
      <c r="J7" s="23">
        <f>IF((ABS($U7)&gt;Defaults!D$7),1,2)</f>
        <v>2</v>
      </c>
      <c r="K7" s="15">
        <f>IF((AND(N7&gt;Defaults!B$12,(N7+O7)&gt;Defaults!B$13,P7&gt;Defaults!B$12,(P7+Q7)&gt;Defaults!B$13)),1,20)</f>
        <v>20</v>
      </c>
      <c r="L7">
        <f aca="true" t="shared" si="1" ref="L7:L15">(J7*K7+L$6)-1</f>
        <v>40</v>
      </c>
      <c r="M7" t="b">
        <f aca="true" t="shared" si="2" ref="M7:M15">(ISNUMBER(J7))</f>
        <v>1</v>
      </c>
      <c r="N7" s="123">
        <f aca="true" t="shared" si="3" ref="N7:N15">E7</f>
        <v>0</v>
      </c>
      <c r="O7" s="123">
        <f>E6-E7</f>
        <v>85134</v>
      </c>
      <c r="P7" s="123">
        <f aca="true" t="shared" si="4" ref="P7:P15">C7</f>
        <v>0</v>
      </c>
      <c r="Q7" s="123">
        <f>C6-C7</f>
        <v>482993</v>
      </c>
      <c r="R7">
        <f>0.05+(D7*(D66))</f>
        <v>0.05</v>
      </c>
      <c r="S7">
        <f aca="true" t="shared" si="5" ref="S7:S15">ROUND(R7-E7,0)</f>
        <v>0</v>
      </c>
      <c r="T7">
        <f aca="true" t="shared" si="6" ref="T7:T15">S7^2</f>
        <v>0</v>
      </c>
      <c r="U7">
        <f aca="true" t="shared" si="7" ref="U7:U15">T7/R7</f>
        <v>0</v>
      </c>
    </row>
    <row r="8" spans="2:21" ht="18" customHeight="1" thickBot="1">
      <c r="B8" s="115" t="str">
        <f>'Data Entry'!A8</f>
        <v>3. Refer to Juvenile Court</v>
      </c>
      <c r="C8" s="159">
        <f>'Data Entry'!K8</f>
        <v>18677</v>
      </c>
      <c r="D8" s="68">
        <f>IF((AND(C67&gt;0,C8&gt;0)),(C8/C67),0)</f>
        <v>38.669297484642634</v>
      </c>
      <c r="E8" s="159">
        <f>'Data Entry'!E8</f>
        <v>3437</v>
      </c>
      <c r="F8" s="68">
        <f>IF((AND($E$8&gt;0,$D$67&gt;0)),($E8/$D67),0)</f>
        <v>40.37164939976977</v>
      </c>
      <c r="G8" s="138">
        <f t="shared" si="0"/>
        <v>1.044023347354661</v>
      </c>
      <c r="H8" s="55"/>
      <c r="I8" s="64"/>
      <c r="J8" s="23">
        <f>IF((ABS($U8)&gt;Defaults!D$7),1,2)</f>
        <v>1</v>
      </c>
      <c r="K8" s="15">
        <f>IF((AND(N8&gt;Defaults!B$12,(N8+O8)&gt;Defaults!B$13,P8&gt;Defaults!B$12,(P8+Q8)&gt;Defaults!B$13)),1,20)</f>
        <v>1</v>
      </c>
      <c r="L8">
        <f t="shared" si="1"/>
        <v>1</v>
      </c>
      <c r="M8" t="b">
        <f t="shared" si="2"/>
        <v>1</v>
      </c>
      <c r="N8" s="123">
        <f t="shared" si="3"/>
        <v>3437</v>
      </c>
      <c r="O8" s="123">
        <f>((D67*L67)-E8)+0.05</f>
        <v>81697.05</v>
      </c>
      <c r="P8" s="123">
        <f t="shared" si="4"/>
        <v>18677</v>
      </c>
      <c r="Q8" s="123">
        <f>(C$67*L67)-C8</f>
        <v>464316</v>
      </c>
      <c r="R8">
        <f>D8*D67+0.05</f>
        <v>3292.1219720575664</v>
      </c>
      <c r="S8">
        <f t="shared" si="5"/>
        <v>-145</v>
      </c>
      <c r="T8">
        <f t="shared" si="6"/>
        <v>21025</v>
      </c>
      <c r="U8">
        <f t="shared" si="7"/>
        <v>6.386458393234877</v>
      </c>
    </row>
    <row r="9" spans="2:21" ht="18" customHeight="1" thickBot="1">
      <c r="B9" s="115" t="str">
        <f>'Data Entry'!A9</f>
        <v>4. Cases Diverted </v>
      </c>
      <c r="C9" s="159">
        <f>'Data Entry'!K9</f>
        <v>2998</v>
      </c>
      <c r="D9" s="68">
        <f>IF((AND(C68&gt;0,C9&gt;0)),((C9/C68)),0)</f>
        <v>16.051828452106868</v>
      </c>
      <c r="E9" s="159">
        <f>'Data Entry'!E9</f>
        <v>457</v>
      </c>
      <c r="F9" s="68">
        <f>IF((AND($E$9&gt;0,$D$68&gt;0)),(($E$9/$D$68)),0)</f>
        <v>13.296479487925517</v>
      </c>
      <c r="G9" s="138">
        <f t="shared" si="0"/>
        <v>0.8283467224682618</v>
      </c>
      <c r="H9" s="55"/>
      <c r="I9" s="64"/>
      <c r="J9" s="23">
        <f>IF((ABS($U9)&gt;Defaults!D$7),1,2)</f>
        <v>1</v>
      </c>
      <c r="K9" s="15">
        <f>IF((AND(N9&gt;Defaults!B$12,(N9+O9)&gt;Defaults!B$13,P9&gt;Defaults!B$12,(P9+Q9)&gt;Defaults!B$13)),1,20)</f>
        <v>1</v>
      </c>
      <c r="L9">
        <f t="shared" si="1"/>
        <v>1</v>
      </c>
      <c r="M9" t="b">
        <f t="shared" si="2"/>
        <v>1</v>
      </c>
      <c r="N9" s="123">
        <f t="shared" si="3"/>
        <v>457</v>
      </c>
      <c r="O9" s="123">
        <f>(D$68*L68)-E9</f>
        <v>2979.9999999999995</v>
      </c>
      <c r="P9" s="123">
        <f t="shared" si="4"/>
        <v>2998</v>
      </c>
      <c r="Q9" s="123">
        <f>(C$68*L68)-C9</f>
        <v>15679</v>
      </c>
      <c r="R9">
        <f>D9*D68+0.05</f>
        <v>551.751343898913</v>
      </c>
      <c r="S9">
        <f t="shared" si="5"/>
        <v>95</v>
      </c>
      <c r="T9">
        <f t="shared" si="6"/>
        <v>9025</v>
      </c>
      <c r="U9">
        <f t="shared" si="7"/>
        <v>16.35700592267788</v>
      </c>
    </row>
    <row r="10" spans="2:21" ht="18" customHeight="1" thickBot="1">
      <c r="B10" s="115" t="str">
        <f>'Data Entry'!A10</f>
        <v>5. Cases Involving Secure Detention</v>
      </c>
      <c r="C10" s="159">
        <f>'Data Entry'!K10</f>
        <v>2398</v>
      </c>
      <c r="D10" s="68">
        <f>IF(((AND(C68&gt;0,C10&gt;0))),(C10/(C68)),0)</f>
        <v>12.83932109011083</v>
      </c>
      <c r="E10" s="159">
        <f>'Data Entry'!E10</f>
        <v>653</v>
      </c>
      <c r="F10" s="68">
        <f>IF(((AND($E$10&gt;0,$D$68&gt;0))),($E$10/($D$68)),0)</f>
        <v>18.999127145766657</v>
      </c>
      <c r="G10" s="138">
        <f t="shared" si="0"/>
        <v>1.4797610412905917</v>
      </c>
      <c r="H10" s="55"/>
      <c r="I10" s="64"/>
      <c r="J10" s="23">
        <f>IF((ABS($U10)&gt;Defaults!D$7),1,2)</f>
        <v>1</v>
      </c>
      <c r="K10" s="15">
        <f>IF((AND(N10&gt;Defaults!B$12,(N10+O10)&gt;Defaults!B$13,P10&gt;Defaults!B$12,(P10+Q10)&gt;Defaults!B$13)),1,20)</f>
        <v>1</v>
      </c>
      <c r="L10">
        <f t="shared" si="1"/>
        <v>1</v>
      </c>
      <c r="M10" t="b">
        <f t="shared" si="2"/>
        <v>1</v>
      </c>
      <c r="N10" s="123">
        <f t="shared" si="3"/>
        <v>653</v>
      </c>
      <c r="O10" s="123">
        <f>(D$68*L68)-E10</f>
        <v>2783.9999999999995</v>
      </c>
      <c r="P10" s="123">
        <f t="shared" si="4"/>
        <v>2398</v>
      </c>
      <c r="Q10" s="123">
        <f>(C$68*L68)-C10</f>
        <v>16279</v>
      </c>
      <c r="R10">
        <f>D10*D68+0.05</f>
        <v>441.33746586710924</v>
      </c>
      <c r="S10">
        <f t="shared" si="5"/>
        <v>-212</v>
      </c>
      <c r="T10">
        <f t="shared" si="6"/>
        <v>44944</v>
      </c>
      <c r="U10">
        <f t="shared" si="7"/>
        <v>101.83590444037455</v>
      </c>
    </row>
    <row r="11" spans="2:21" ht="18" customHeight="1" thickBot="1">
      <c r="B11" s="115" t="str">
        <f>'Data Entry'!A11</f>
        <v>6. Cases Petitioned (Charge Filed)</v>
      </c>
      <c r="C11" s="159">
        <f>'Data Entry'!K11</f>
        <v>12374</v>
      </c>
      <c r="D11" s="68">
        <f>IF(((AND(C68&gt;0,C11&gt;0))),(C11/(C68)),0)</f>
        <v>66.25261016223162</v>
      </c>
      <c r="E11" s="159">
        <f>'Data Entry'!E11</f>
        <v>2462</v>
      </c>
      <c r="F11" s="68">
        <f>IF(((AND($E$11&gt;0,$D$68&gt;0))),($E$11/($D$68)),0)</f>
        <v>71.63223741635147</v>
      </c>
      <c r="G11" s="138">
        <f t="shared" si="0"/>
        <v>1.081198721694841</v>
      </c>
      <c r="H11" s="55"/>
      <c r="I11" s="64"/>
      <c r="J11" s="23">
        <f>IF((ABS($U11)&gt;Defaults!D$7),1,2)</f>
        <v>1</v>
      </c>
      <c r="K11" s="15">
        <f>IF((AND(N11&gt;Defaults!B$12,(N11+O11)&gt;Defaults!B$13,P11&gt;Defaults!B$12,(P11+Q11)&gt;Defaults!B$13)),1,20)</f>
        <v>1</v>
      </c>
      <c r="L11">
        <f t="shared" si="1"/>
        <v>1</v>
      </c>
      <c r="M11" t="b">
        <f t="shared" si="2"/>
        <v>1</v>
      </c>
      <c r="N11" s="123">
        <f t="shared" si="3"/>
        <v>2462</v>
      </c>
      <c r="O11" s="123">
        <f>(D$68*L68)-E11</f>
        <v>974.9999999999995</v>
      </c>
      <c r="P11" s="123">
        <f t="shared" si="4"/>
        <v>12374</v>
      </c>
      <c r="Q11" s="123">
        <f>(C$68*L68)-C11</f>
        <v>6303</v>
      </c>
      <c r="R11">
        <f>D11*D68+0.05</f>
        <v>2277.1522112759008</v>
      </c>
      <c r="S11">
        <f t="shared" si="5"/>
        <v>-185</v>
      </c>
      <c r="T11">
        <f t="shared" si="6"/>
        <v>34225</v>
      </c>
      <c r="U11">
        <f t="shared" si="7"/>
        <v>15.0297375074561</v>
      </c>
    </row>
    <row r="12" spans="2:21" ht="18" customHeight="1" thickBot="1">
      <c r="B12" s="115" t="str">
        <f>'Data Entry'!A12</f>
        <v>7. Cases Resulting in Delinquent Findings</v>
      </c>
      <c r="C12" s="159">
        <f>'Data Entry'!K12</f>
        <v>3316</v>
      </c>
      <c r="D12" s="68">
        <f>IF(((AND(C69&gt;0,C12&gt;0))),(C12/(C69)),0)</f>
        <v>26.798125101018265</v>
      </c>
      <c r="E12" s="159">
        <f>'Data Entry'!E12</f>
        <v>903</v>
      </c>
      <c r="F12" s="68">
        <f>IF(((AND($D$69&gt;0,$E$12&gt;0))),(E12/(D69)),0)</f>
        <v>36.67749796913078</v>
      </c>
      <c r="G12" s="138">
        <f t="shared" si="0"/>
        <v>1.3686591069662977</v>
      </c>
      <c r="H12" s="55"/>
      <c r="I12" s="64"/>
      <c r="J12" s="23">
        <f>IF((ABS($U12)&gt;Defaults!D$7),1,2)</f>
        <v>1</v>
      </c>
      <c r="K12" s="15">
        <f>IF((AND(N12&gt;Defaults!B$12,(N12+O12)&gt;Defaults!B$13,P12&gt;Defaults!B$12,(P12+Q12)&gt;Defaults!B$13)),1,20)</f>
        <v>1</v>
      </c>
      <c r="L12">
        <f t="shared" si="1"/>
        <v>1</v>
      </c>
      <c r="M12" t="b">
        <f t="shared" si="2"/>
        <v>1</v>
      </c>
      <c r="N12" s="123">
        <f t="shared" si="3"/>
        <v>903</v>
      </c>
      <c r="O12" s="123">
        <f>(D69*L69)-E12</f>
        <v>1559</v>
      </c>
      <c r="P12" s="123">
        <f t="shared" si="4"/>
        <v>3316</v>
      </c>
      <c r="Q12" s="123">
        <f>(C69*L69)-C12</f>
        <v>9058</v>
      </c>
      <c r="R12">
        <f>D12*D69+0.05</f>
        <v>659.8198399870696</v>
      </c>
      <c r="S12">
        <f t="shared" si="5"/>
        <v>-243</v>
      </c>
      <c r="T12">
        <f t="shared" si="6"/>
        <v>59049</v>
      </c>
      <c r="U12">
        <f t="shared" si="7"/>
        <v>89.49261059072909</v>
      </c>
    </row>
    <row r="13" spans="2:21" ht="18" customHeight="1" thickBot="1">
      <c r="B13" s="115" t="str">
        <f>'Data Entry'!A13</f>
        <v>8. Cases resulting in Probation Placement</v>
      </c>
      <c r="C13" s="159">
        <f>'Data Entry'!K13</f>
        <v>2032</v>
      </c>
      <c r="D13" s="68">
        <f>IF(((AND(C70&gt;0,C13&gt;0))),(C13/(C70)),0)</f>
        <v>61.27864897466828</v>
      </c>
      <c r="E13" s="159">
        <f>'Data Entry'!E13</f>
        <v>475</v>
      </c>
      <c r="F13" s="68">
        <f>IF(((AND($D$70&gt;0,$E$13&gt;0))),($E$13/($D$70)),0)</f>
        <v>52.60243632336656</v>
      </c>
      <c r="G13" s="138">
        <f t="shared" si="0"/>
        <v>0.8584137738596629</v>
      </c>
      <c r="H13" s="55"/>
      <c r="I13" s="64"/>
      <c r="J13" s="23">
        <f>IF((ABS($U13)&gt;Defaults!D$7),1,2)</f>
        <v>1</v>
      </c>
      <c r="K13" s="15">
        <f>IF((AND(N13&gt;Defaults!B$12,(N13+O13)&gt;Defaults!B$13,P13&gt;Defaults!B$12,(P13+Q13)&gt;Defaults!B$13)),1,20)</f>
        <v>1</v>
      </c>
      <c r="L13">
        <f t="shared" si="1"/>
        <v>1</v>
      </c>
      <c r="M13" t="b">
        <f t="shared" si="2"/>
        <v>1</v>
      </c>
      <c r="N13" s="123">
        <f t="shared" si="3"/>
        <v>475</v>
      </c>
      <c r="O13" s="123">
        <f>(D70*L70)-E13</f>
        <v>427.9999999999999</v>
      </c>
      <c r="P13" s="123">
        <f t="shared" si="4"/>
        <v>2032</v>
      </c>
      <c r="Q13" s="123">
        <f>(C70*L70)-C13</f>
        <v>1283.9999999999995</v>
      </c>
      <c r="R13">
        <f>D13*D70+0.05</f>
        <v>553.3962002412545</v>
      </c>
      <c r="S13">
        <f t="shared" si="5"/>
        <v>78</v>
      </c>
      <c r="T13">
        <f t="shared" si="6"/>
        <v>6084</v>
      </c>
      <c r="U13">
        <f t="shared" si="7"/>
        <v>10.993931648514508</v>
      </c>
    </row>
    <row r="14" spans="2:21" ht="30.75" thickBot="1">
      <c r="B14" s="115" t="str">
        <f>'Data Entry'!A14</f>
        <v>9. Cases Resulting in Confinement in Secure    Juvenile Correctional Facilities </v>
      </c>
      <c r="C14" s="159">
        <f>'Data Entry'!K14</f>
        <v>121</v>
      </c>
      <c r="D14" s="68">
        <f>IF(((AND(C70&gt;0,C14&gt;0))),((C14/(C70))),0)</f>
        <v>3.6489746682750304</v>
      </c>
      <c r="E14" s="159">
        <f>'Data Entry'!E14</f>
        <v>25</v>
      </c>
      <c r="F14" s="68">
        <f>IF(((AND($D$70&gt;0,$E$14&gt;0))),(($E$14/($D$70))),0)</f>
        <v>2.7685492801771874</v>
      </c>
      <c r="G14" s="138">
        <f t="shared" si="0"/>
        <v>0.75871978620393</v>
      </c>
      <c r="H14" s="55"/>
      <c r="I14" s="64"/>
      <c r="J14" s="23">
        <f>IF((ABS($U14)&gt;Defaults!D$7),1,2)</f>
        <v>2</v>
      </c>
      <c r="K14" s="15">
        <f>IF((AND(N14&gt;Defaults!B$12,(N14+O14)&gt;Defaults!B$13,P14&gt;Defaults!B$12,(P14+Q14)&gt;Defaults!B$13)),1,20)</f>
        <v>1</v>
      </c>
      <c r="L14">
        <f t="shared" si="1"/>
        <v>2</v>
      </c>
      <c r="M14" t="b">
        <f t="shared" si="2"/>
        <v>1</v>
      </c>
      <c r="N14" s="123">
        <f t="shared" si="3"/>
        <v>25</v>
      </c>
      <c r="O14" s="123">
        <f>(D70*L70)-E14</f>
        <v>877.9999999999999</v>
      </c>
      <c r="P14" s="123">
        <f t="shared" si="4"/>
        <v>121</v>
      </c>
      <c r="Q14" s="123">
        <f>(C70*L70)-C14</f>
        <v>3194.9999999999995</v>
      </c>
      <c r="R14">
        <f>D14*D70+0.05</f>
        <v>33.000241254523516</v>
      </c>
      <c r="S14">
        <f t="shared" si="5"/>
        <v>8</v>
      </c>
      <c r="T14">
        <f t="shared" si="6"/>
        <v>64</v>
      </c>
      <c r="U14">
        <f t="shared" si="7"/>
        <v>1.9393797610866612</v>
      </c>
    </row>
    <row r="15" spans="2:21" ht="15.75" thickBot="1">
      <c r="B15" s="115" t="str">
        <f>'Data Entry'!A15</f>
        <v>10. Cases Transferred to Adult Court </v>
      </c>
      <c r="C15" s="159">
        <f>'Data Entry'!K15</f>
        <v>0</v>
      </c>
      <c r="D15" s="68">
        <f>IF(((AND(C69&gt;0,C15&gt;0))),((C15/(C69))),0)</f>
        <v>0</v>
      </c>
      <c r="E15" s="159">
        <f>'Data Entry'!E15</f>
        <v>0</v>
      </c>
      <c r="F15" s="68">
        <f>IF(((AND($D$69&gt;0,$E$15&gt;0))),(($E$15/($D$69))),0)</f>
        <v>0</v>
      </c>
      <c r="G15" s="138" t="str">
        <f t="shared" si="0"/>
        <v>**</v>
      </c>
      <c r="H15" s="55"/>
      <c r="I15" s="64"/>
      <c r="J15" s="23">
        <f>IF((ABS($U15)&gt;Defaults!D$7),1,2)</f>
        <v>2</v>
      </c>
      <c r="K15" s="15">
        <f>IF((AND(N15&gt;Defaults!B$12,(N15+O15)&gt;Defaults!B$13,P15&gt;Defaults!B$12,(P15+Q15)&gt;Defaults!B$13)),1,20)</f>
        <v>20</v>
      </c>
      <c r="L15">
        <f t="shared" si="1"/>
        <v>40</v>
      </c>
      <c r="M15" t="b">
        <f t="shared" si="2"/>
        <v>1</v>
      </c>
      <c r="N15" s="123">
        <f t="shared" si="3"/>
        <v>0</v>
      </c>
      <c r="O15" s="123">
        <f>(D69*L69)-E15</f>
        <v>2462</v>
      </c>
      <c r="P15" s="123">
        <f t="shared" si="4"/>
        <v>0</v>
      </c>
      <c r="Q15" s="123">
        <f>(C69*L69)-C15</f>
        <v>12374</v>
      </c>
      <c r="R15">
        <f>D15*D69+0.05</f>
        <v>0.05</v>
      </c>
      <c r="S15">
        <f t="shared" si="5"/>
        <v>0</v>
      </c>
      <c r="T15">
        <f t="shared" si="6"/>
        <v>0</v>
      </c>
      <c r="U15">
        <f t="shared" si="7"/>
        <v>0</v>
      </c>
    </row>
    <row r="16" spans="2:21" ht="12" customHeight="1">
      <c r="B16" s="103" t="s">
        <v>40</v>
      </c>
      <c r="C16" s="63"/>
      <c r="D16" s="63"/>
      <c r="E16" s="63"/>
      <c r="F16" s="63"/>
      <c r="G16" s="63"/>
      <c r="H16" s="63"/>
      <c r="I16" s="63"/>
      <c r="N16" s="162"/>
      <c r="O16" s="162"/>
      <c r="P16" s="162"/>
      <c r="Q16" s="162"/>
      <c r="S16"/>
      <c r="T16"/>
      <c r="U16"/>
    </row>
    <row r="17" spans="2:21" ht="12" customHeight="1">
      <c r="B17" s="103"/>
      <c r="C17" s="63"/>
      <c r="D17" s="63"/>
      <c r="E17" s="63"/>
      <c r="F17" s="63"/>
      <c r="G17" s="63"/>
      <c r="H17" s="63"/>
      <c r="I17" s="63"/>
      <c r="N17" s="162"/>
      <c r="O17" s="162"/>
      <c r="P17" s="162"/>
      <c r="Q17" s="162"/>
      <c r="S17"/>
      <c r="T17"/>
      <c r="U17"/>
    </row>
    <row r="18" spans="2:21" ht="15">
      <c r="B18" t="s">
        <v>113</v>
      </c>
      <c r="N18" s="49"/>
      <c r="O18" s="49"/>
      <c r="P18" s="49"/>
      <c r="Q18" s="49"/>
      <c r="S18"/>
      <c r="T18"/>
      <c r="U18"/>
    </row>
    <row r="19" spans="2:21" ht="15">
      <c r="B19" t="s">
        <v>151</v>
      </c>
      <c r="D19" s="61" t="s">
        <v>118</v>
      </c>
      <c r="N19" s="49"/>
      <c r="O19" s="49"/>
      <c r="P19" s="49"/>
      <c r="Q19" s="49"/>
      <c r="S19"/>
      <c r="T19"/>
      <c r="U19"/>
    </row>
    <row r="20" spans="2:21" ht="15">
      <c r="B20" t="s">
        <v>34</v>
      </c>
      <c r="D20" t="s">
        <v>57</v>
      </c>
      <c r="N20" s="49"/>
      <c r="O20" s="49"/>
      <c r="P20" s="49"/>
      <c r="Q20" s="49"/>
      <c r="S20"/>
      <c r="T20"/>
      <c r="U20"/>
    </row>
    <row r="21" spans="2:21" ht="15">
      <c r="B21" t="s">
        <v>199</v>
      </c>
      <c r="D21" t="s">
        <v>195</v>
      </c>
      <c r="N21" s="49"/>
      <c r="O21" s="49"/>
      <c r="P21" s="49"/>
      <c r="Q21" s="49"/>
      <c r="S21"/>
      <c r="T21"/>
      <c r="U21"/>
    </row>
    <row r="22" spans="2:21" ht="15">
      <c r="B22" t="s">
        <v>103</v>
      </c>
      <c r="D22" t="s">
        <v>214</v>
      </c>
      <c r="N22" s="49"/>
      <c r="O22" s="49"/>
      <c r="P22" s="49"/>
      <c r="Q22" s="49"/>
      <c r="S22"/>
      <c r="T22"/>
      <c r="U22"/>
    </row>
    <row r="23" spans="2:21" ht="15">
      <c r="B23" t="s">
        <v>129</v>
      </c>
      <c r="D23" s="163" t="s">
        <v>180</v>
      </c>
      <c r="K23" t="s">
        <v>70</v>
      </c>
      <c r="N23" s="49"/>
      <c r="O23" s="49"/>
      <c r="P23" s="49"/>
      <c r="Q23" s="49"/>
      <c r="S23"/>
      <c r="T23"/>
      <c r="U23"/>
    </row>
    <row r="24" spans="2:21" ht="11.25" customHeight="1">
      <c r="B24" s="103"/>
      <c r="C24" s="63"/>
      <c r="D24" s="63"/>
      <c r="E24" s="63"/>
      <c r="F24" s="63"/>
      <c r="G24" s="63"/>
      <c r="H24" s="63"/>
      <c r="I24" s="63"/>
      <c r="N24" s="162"/>
      <c r="O24" s="162"/>
      <c r="P24" s="162"/>
      <c r="Q24" s="162"/>
      <c r="S24"/>
      <c r="T24"/>
      <c r="U24"/>
    </row>
    <row r="25" spans="2:21" ht="15">
      <c r="B25" s="117" t="s">
        <v>96</v>
      </c>
      <c r="K25" t="s">
        <v>198</v>
      </c>
      <c r="L25" t="s">
        <v>2</v>
      </c>
      <c r="N25" s="162"/>
      <c r="O25" s="162" t="b">
        <f>ISBLANK(N12)</f>
        <v>0</v>
      </c>
      <c r="P25" s="162"/>
      <c r="Q25" s="162"/>
      <c r="S25"/>
      <c r="T25"/>
      <c r="U25"/>
    </row>
    <row r="26" spans="2:21" ht="15" customHeight="1">
      <c r="B26" s="95" t="s">
        <v>78</v>
      </c>
      <c r="C26" s="142"/>
      <c r="D26" s="142"/>
      <c r="E26" s="142"/>
      <c r="F26" s="95" t="s">
        <v>207</v>
      </c>
      <c r="G26" s="95"/>
      <c r="H26" s="95"/>
      <c r="I26" s="95"/>
      <c r="J26" s="95"/>
      <c r="K26" s="157" t="s">
        <v>180</v>
      </c>
      <c r="L26" s="97" t="s">
        <v>217</v>
      </c>
      <c r="M26" s="97"/>
      <c r="N26" s="49"/>
      <c r="O26" s="49"/>
      <c r="P26" s="49"/>
      <c r="Q26" s="49"/>
      <c r="S26"/>
      <c r="T26"/>
      <c r="U26"/>
    </row>
    <row r="27" spans="2:21" ht="15" customHeight="1">
      <c r="B27" s="6" t="s">
        <v>9</v>
      </c>
      <c r="C27" s="6"/>
      <c r="D27" s="6"/>
      <c r="E27" s="6"/>
      <c r="F27" s="6" t="str">
        <f>B66</f>
        <v>per 1000 youth</v>
      </c>
      <c r="G27" s="6"/>
      <c r="H27" s="6"/>
      <c r="I27" s="6"/>
      <c r="J27" s="6">
        <f>F66</f>
        <v>0</v>
      </c>
      <c r="K27" s="6" t="s">
        <v>214</v>
      </c>
      <c r="L27" s="54" t="s">
        <v>161</v>
      </c>
      <c r="M27" s="142"/>
      <c r="N27" s="49"/>
      <c r="O27" s="49"/>
      <c r="P27" s="49"/>
      <c r="Q27" s="49"/>
      <c r="S27"/>
      <c r="T27"/>
      <c r="U27"/>
    </row>
    <row r="28" spans="2:21" ht="15" customHeight="1">
      <c r="B28" s="6" t="s">
        <v>94</v>
      </c>
      <c r="C28" s="6"/>
      <c r="D28" s="6"/>
      <c r="E28" s="6"/>
      <c r="F28" s="89" t="str">
        <f>B67</f>
        <v>per 1000 youth</v>
      </c>
      <c r="G28" s="89"/>
      <c r="H28" s="89"/>
      <c r="I28" s="89"/>
      <c r="J28" s="89"/>
      <c r="K28" s="89" t="s">
        <v>195</v>
      </c>
      <c r="L28" s="104" t="s">
        <v>26</v>
      </c>
      <c r="M28" s="142"/>
      <c r="N28" s="49"/>
      <c r="O28" s="49"/>
      <c r="P28" s="49"/>
      <c r="Q28" s="49"/>
      <c r="S28"/>
      <c r="T28"/>
      <c r="U28"/>
    </row>
    <row r="29" spans="2:21" ht="15" customHeight="1">
      <c r="B29" s="89" t="s">
        <v>158</v>
      </c>
      <c r="C29" s="89"/>
      <c r="D29" s="89"/>
      <c r="E29" s="89"/>
      <c r="F29" s="89" t="str">
        <f>B68</f>
        <v>per 100 referrals</v>
      </c>
      <c r="G29" s="89"/>
      <c r="H29" s="89"/>
      <c r="I29" s="89"/>
      <c r="J29" s="89"/>
      <c r="K29" s="89"/>
      <c r="L29" s="104"/>
      <c r="M29" s="142"/>
      <c r="N29" s="49"/>
      <c r="O29" s="49"/>
      <c r="P29" s="49"/>
      <c r="Q29" s="49"/>
      <c r="S29"/>
      <c r="T29"/>
      <c r="U29"/>
    </row>
    <row r="30" spans="2:21" ht="15" customHeight="1">
      <c r="B30" s="89" t="s">
        <v>48</v>
      </c>
      <c r="C30" s="89"/>
      <c r="D30" s="89"/>
      <c r="E30" s="89"/>
      <c r="F30" s="89" t="str">
        <f>B68</f>
        <v>per 100 referrals</v>
      </c>
      <c r="G30" s="89"/>
      <c r="H30" s="89"/>
      <c r="I30" s="89"/>
      <c r="J30" s="89"/>
      <c r="K30" s="89"/>
      <c r="L30" s="104"/>
      <c r="M30" s="142"/>
      <c r="N30" s="49" t="b">
        <f>ISNUMBER(J14)</f>
        <v>1</v>
      </c>
      <c r="O30" s="49"/>
      <c r="P30" s="49"/>
      <c r="Q30" s="49"/>
      <c r="S30"/>
      <c r="T30"/>
      <c r="U30"/>
    </row>
    <row r="31" spans="2:21" ht="15" customHeight="1">
      <c r="B31" s="89" t="s">
        <v>20</v>
      </c>
      <c r="C31" s="89"/>
      <c r="D31" s="89"/>
      <c r="E31" s="89"/>
      <c r="F31" s="89" t="str">
        <f>B68</f>
        <v>per 100 referrals</v>
      </c>
      <c r="G31" s="89"/>
      <c r="H31" s="89"/>
      <c r="I31" s="89"/>
      <c r="J31" s="89"/>
      <c r="K31" s="89"/>
      <c r="L31" s="104"/>
      <c r="M31" s="142"/>
      <c r="N31" s="49"/>
      <c r="O31" s="49"/>
      <c r="P31" s="49"/>
      <c r="Q31" s="49"/>
      <c r="S31"/>
      <c r="T31"/>
      <c r="U31"/>
    </row>
    <row r="32" spans="2:21" ht="15" customHeight="1">
      <c r="B32" s="89" t="s">
        <v>41</v>
      </c>
      <c r="C32" s="89"/>
      <c r="D32" s="89"/>
      <c r="E32" s="89"/>
      <c r="F32" s="89" t="str">
        <f>B69</f>
        <v>per 100 youth petitioned</v>
      </c>
      <c r="G32" s="89"/>
      <c r="H32" s="89"/>
      <c r="I32" s="89"/>
      <c r="J32" s="89"/>
      <c r="K32" s="89"/>
      <c r="L32" s="104"/>
      <c r="M32" s="142"/>
      <c r="N32" s="49"/>
      <c r="O32" s="49"/>
      <c r="P32" s="49"/>
      <c r="Q32" s="49"/>
      <c r="S32"/>
      <c r="T32"/>
      <c r="U32"/>
    </row>
    <row r="33" spans="2:21" ht="15" customHeight="1">
      <c r="B33" s="89" t="s">
        <v>111</v>
      </c>
      <c r="C33" s="89"/>
      <c r="D33" s="89"/>
      <c r="E33" s="89"/>
      <c r="F33" s="89" t="str">
        <f>B70</f>
        <v>per 100 youth found delinquent</v>
      </c>
      <c r="G33" s="89"/>
      <c r="H33" s="89"/>
      <c r="I33" s="89"/>
      <c r="J33" s="89"/>
      <c r="K33" s="89"/>
      <c r="L33" s="104"/>
      <c r="M33" s="142"/>
      <c r="N33" s="49"/>
      <c r="O33" s="49"/>
      <c r="P33" s="49"/>
      <c r="Q33" s="49"/>
      <c r="S33"/>
      <c r="T33"/>
      <c r="U33"/>
    </row>
    <row r="34" spans="2:21" ht="15" customHeight="1">
      <c r="B34" s="89" t="s">
        <v>64</v>
      </c>
      <c r="C34" s="89"/>
      <c r="D34" s="89"/>
      <c r="E34" s="89"/>
      <c r="F34" s="89" t="str">
        <f>B70</f>
        <v>per 100 youth found delinquent</v>
      </c>
      <c r="G34" s="89"/>
      <c r="H34" s="89"/>
      <c r="I34" s="89"/>
      <c r="J34" s="89"/>
      <c r="K34" s="89"/>
      <c r="L34" s="104"/>
      <c r="M34" s="142"/>
      <c r="N34" s="49"/>
      <c r="O34" s="49"/>
      <c r="P34" s="49"/>
      <c r="Q34" s="49"/>
      <c r="S34"/>
      <c r="T34"/>
      <c r="U34"/>
    </row>
    <row r="35" spans="2:21" ht="15" customHeight="1">
      <c r="B35" s="89" t="s">
        <v>74</v>
      </c>
      <c r="C35" s="89"/>
      <c r="D35" s="89"/>
      <c r="E35" s="89"/>
      <c r="F35" s="89" t="str">
        <f>B69</f>
        <v>per 100 youth petitioned</v>
      </c>
      <c r="G35" s="89"/>
      <c r="H35" s="89"/>
      <c r="I35" s="89"/>
      <c r="J35" s="89"/>
      <c r="K35" s="89"/>
      <c r="L35" s="104"/>
      <c r="M35" s="142"/>
      <c r="N35" s="49"/>
      <c r="O35" s="49"/>
      <c r="P35" s="49"/>
      <c r="Q35" s="49"/>
      <c r="S35"/>
      <c r="T35"/>
      <c r="U35"/>
    </row>
    <row r="36" spans="10:21" ht="15" customHeight="1">
      <c r="J36" s="142"/>
      <c r="K36" s="142"/>
      <c r="L36" s="142"/>
      <c r="M36" s="142"/>
      <c r="N36" s="49"/>
      <c r="O36" s="49"/>
      <c r="P36" s="49"/>
      <c r="Q36" s="49"/>
      <c r="S36"/>
      <c r="T36"/>
      <c r="U36"/>
    </row>
    <row r="37" spans="14:21" ht="13.5" customHeight="1" hidden="1">
      <c r="N37" s="49"/>
      <c r="O37" s="49"/>
      <c r="P37" s="49"/>
      <c r="Q37" s="49"/>
      <c r="S37"/>
      <c r="T37"/>
      <c r="U37"/>
    </row>
    <row r="38" spans="14:21" ht="13.5" customHeight="1" hidden="1">
      <c r="N38" s="49"/>
      <c r="O38" s="49"/>
      <c r="P38" s="49"/>
      <c r="Q38" s="49"/>
      <c r="S38"/>
      <c r="T38"/>
      <c r="U38"/>
    </row>
    <row r="39" spans="14:21" ht="13.5" customHeight="1" hidden="1">
      <c r="N39" s="49"/>
      <c r="O39" s="49"/>
      <c r="P39" s="49"/>
      <c r="Q39" s="49"/>
      <c r="S39"/>
      <c r="T39"/>
      <c r="U39"/>
    </row>
    <row r="40" spans="2:21" ht="30.75" customHeight="1" hidden="1">
      <c r="B40" s="50" t="s">
        <v>65</v>
      </c>
      <c r="C40" s="160"/>
      <c r="D40" s="160"/>
      <c r="E40" s="160"/>
      <c r="F40" s="160"/>
      <c r="G40" s="160"/>
      <c r="H40" s="160"/>
      <c r="I40" s="160"/>
      <c r="J40" s="160"/>
      <c r="K40" s="160"/>
      <c r="N40" s="49"/>
      <c r="O40" s="49"/>
      <c r="P40" s="49"/>
      <c r="Q40" s="49"/>
      <c r="S40"/>
      <c r="T40"/>
      <c r="U40"/>
    </row>
    <row r="41" spans="2:21" ht="13.5" customHeight="1" hidden="1">
      <c r="B41" s="124" t="s">
        <v>52</v>
      </c>
      <c r="C41" s="83" t="s">
        <v>206</v>
      </c>
      <c r="D41" s="148" t="s">
        <v>15</v>
      </c>
      <c r="E41" s="83" t="s">
        <v>99</v>
      </c>
      <c r="G41" s="83" t="s">
        <v>117</v>
      </c>
      <c r="H41" s="83"/>
      <c r="I41" s="83"/>
      <c r="L41" t="s">
        <v>230</v>
      </c>
      <c r="N41" s="49"/>
      <c r="O41" s="49"/>
      <c r="P41" s="49"/>
      <c r="Q41" s="49"/>
      <c r="S41"/>
      <c r="T41"/>
      <c r="U41"/>
    </row>
    <row r="42" spans="2:21" ht="13.5" customHeight="1" hidden="1">
      <c r="B42" s="5" t="s">
        <v>170</v>
      </c>
      <c r="C42" s="60">
        <f>C6/1000</f>
        <v>482.993</v>
      </c>
      <c r="D42" s="60">
        <f>E6/1000</f>
        <v>85.134</v>
      </c>
      <c r="E42" s="60">
        <f>MAX(C42:D42)</f>
        <v>482.993</v>
      </c>
      <c r="G42" t="str">
        <f>B42</f>
        <v>per 1000 youth</v>
      </c>
      <c r="L42" s="134">
        <v>1000</v>
      </c>
      <c r="M42" s="134"/>
      <c r="N42" s="49"/>
      <c r="O42" s="49"/>
      <c r="P42" s="49"/>
      <c r="Q42" s="49"/>
      <c r="S42"/>
      <c r="T42"/>
      <c r="U42"/>
    </row>
    <row r="43" spans="2:21" ht="13.5" customHeight="1" hidden="1">
      <c r="B43" s="5" t="s">
        <v>167</v>
      </c>
      <c r="C43" s="60">
        <f>C7/100</f>
        <v>0</v>
      </c>
      <c r="D43" s="60">
        <f>E7/100</f>
        <v>0</v>
      </c>
      <c r="E43" s="60">
        <f>MAX(C43:D43,0)</f>
        <v>0</v>
      </c>
      <c r="G43" t="str">
        <f>B43</f>
        <v>per 100 arrests</v>
      </c>
      <c r="L43" s="134">
        <v>100</v>
      </c>
      <c r="M43" s="134"/>
      <c r="N43" s="49"/>
      <c r="O43" s="49"/>
      <c r="P43" s="49"/>
      <c r="Q43" s="49"/>
      <c r="S43"/>
      <c r="T43"/>
      <c r="U43"/>
    </row>
    <row r="44" spans="2:21" ht="13.5" customHeight="1" hidden="1">
      <c r="B44" s="5" t="s">
        <v>95</v>
      </c>
      <c r="C44" s="60">
        <f>C8/100</f>
        <v>186.77</v>
      </c>
      <c r="D44" s="60">
        <f>E8/100</f>
        <v>34.37</v>
      </c>
      <c r="E44" s="60">
        <f>MAX(C44:D44,0)</f>
        <v>186.77</v>
      </c>
      <c r="G44" t="str">
        <f>B44</f>
        <v>per 100 referrals</v>
      </c>
      <c r="L44" s="134">
        <v>100</v>
      </c>
      <c r="M44" s="134"/>
      <c r="N44" s="49"/>
      <c r="O44" s="49"/>
      <c r="P44" s="49"/>
      <c r="Q44" s="49"/>
      <c r="S44"/>
      <c r="T44"/>
      <c r="U44"/>
    </row>
    <row r="45" spans="2:21" ht="13.5" customHeight="1" hidden="1">
      <c r="B45" s="88" t="s">
        <v>84</v>
      </c>
      <c r="C45" s="128">
        <f>C11/100</f>
        <v>123.74</v>
      </c>
      <c r="D45" s="128">
        <f>E11/100</f>
        <v>24.62</v>
      </c>
      <c r="E45" s="60">
        <f>MAX(C45:D45,0)</f>
        <v>123.74</v>
      </c>
      <c r="G45" t="str">
        <f>B45</f>
        <v>per 100 youth petitioned</v>
      </c>
      <c r="L45" s="134">
        <v>100</v>
      </c>
      <c r="M45" s="134"/>
      <c r="N45" s="49"/>
      <c r="O45" s="49"/>
      <c r="P45" s="49"/>
      <c r="Q45" s="49"/>
      <c r="S45"/>
      <c r="T45"/>
      <c r="U45"/>
    </row>
    <row r="46" spans="2:21" ht="13.5" customHeight="1" hidden="1">
      <c r="B46" s="88" t="s">
        <v>187</v>
      </c>
      <c r="C46" s="128">
        <f>C12/100</f>
        <v>33.16</v>
      </c>
      <c r="D46" s="128">
        <f>E12/100</f>
        <v>9.03</v>
      </c>
      <c r="E46" s="60">
        <f>MAX(C46:D46)</f>
        <v>33.16</v>
      </c>
      <c r="G46" t="str">
        <f>B46</f>
        <v>per 100 youth found delinquent</v>
      </c>
      <c r="L46" s="134">
        <v>100</v>
      </c>
      <c r="M46" s="134"/>
      <c r="N46" s="49"/>
      <c r="O46" s="49"/>
      <c r="P46" s="49"/>
      <c r="Q46" s="49"/>
      <c r="S46"/>
      <c r="T46"/>
      <c r="U46"/>
    </row>
    <row r="47" spans="2:21" ht="13.5" customHeight="1" hidden="1">
      <c r="B47" s="160"/>
      <c r="C47" s="160"/>
      <c r="D47" s="160"/>
      <c r="E47" s="160"/>
      <c r="L47" s="134"/>
      <c r="M47" s="134"/>
      <c r="N47" s="49"/>
      <c r="O47" s="49"/>
      <c r="P47" s="49"/>
      <c r="Q47" s="49"/>
      <c r="S47"/>
      <c r="T47"/>
      <c r="U47"/>
    </row>
    <row r="48" spans="2:21" ht="13.5" customHeight="1" hidden="1">
      <c r="B48" s="128" t="str">
        <f>B42</f>
        <v>per 1000 youth</v>
      </c>
      <c r="C48" s="60">
        <f>C42</f>
        <v>482.993</v>
      </c>
      <c r="D48" s="60">
        <f>D42</f>
        <v>85.134</v>
      </c>
      <c r="E48" s="60">
        <f>MAX(C48:D48)</f>
        <v>482.993</v>
      </c>
      <c r="G48" t="str">
        <f>G42</f>
        <v>per 1000 youth</v>
      </c>
      <c r="L48" s="2">
        <f>L42</f>
        <v>1000</v>
      </c>
      <c r="M48" s="2"/>
      <c r="N48" s="162"/>
      <c r="O48" s="162"/>
      <c r="P48" s="162"/>
      <c r="Q48" s="162"/>
      <c r="S48"/>
      <c r="T48"/>
      <c r="U48"/>
    </row>
    <row r="49" spans="2:21" ht="13.5" customHeight="1" hidden="1">
      <c r="B49" s="5" t="str">
        <f aca="true" t="shared" si="8" ref="B49:D50">IF(($E43&gt;0),B43,B42)</f>
        <v>per 1000 youth</v>
      </c>
      <c r="C49" s="5">
        <f t="shared" si="8"/>
        <v>482.993</v>
      </c>
      <c r="D49" s="5">
        <f t="shared" si="8"/>
        <v>85.134</v>
      </c>
      <c r="E49" s="128">
        <f>MAX(C49:D49)</f>
        <v>482.993</v>
      </c>
      <c r="G49" t="str">
        <f>G43</f>
        <v>per 100 arrests</v>
      </c>
      <c r="L49" s="39">
        <f>IF(($E43&gt;0),L43,L42)</f>
        <v>1000</v>
      </c>
      <c r="M49" s="39"/>
      <c r="N49" s="162"/>
      <c r="O49" s="162"/>
      <c r="P49" s="162"/>
      <c r="Q49" s="162"/>
      <c r="S49"/>
      <c r="T49"/>
      <c r="U49"/>
    </row>
    <row r="50" spans="2:21" ht="13.5" customHeight="1" hidden="1">
      <c r="B50" s="5" t="str">
        <f t="shared" si="8"/>
        <v>per 100 referrals</v>
      </c>
      <c r="C50" s="5">
        <f t="shared" si="8"/>
        <v>186.77</v>
      </c>
      <c r="D50" s="5">
        <f t="shared" si="8"/>
        <v>34.37</v>
      </c>
      <c r="E50" s="128">
        <f>MAX(C50:D50)</f>
        <v>186.77</v>
      </c>
      <c r="G50" t="str">
        <f>G44</f>
        <v>per 100 referrals</v>
      </c>
      <c r="L50" s="39">
        <f>IF(($E44&gt;0),L44,L43)</f>
        <v>100</v>
      </c>
      <c r="M50" s="39"/>
      <c r="N50" s="162"/>
      <c r="O50" s="162"/>
      <c r="P50" s="162"/>
      <c r="Q50" s="162"/>
      <c r="S50"/>
      <c r="T50"/>
      <c r="U50"/>
    </row>
    <row r="51" spans="2:21" ht="13.5" customHeight="1" hidden="1">
      <c r="B51" s="5" t="str">
        <f>IF(($E45&gt;0),B45,B43)</f>
        <v>per 100 youth petitioned</v>
      </c>
      <c r="C51" s="5">
        <f>IF(($E45&gt;0),C45,C44)</f>
        <v>123.74</v>
      </c>
      <c r="D51" s="5">
        <f>IF(($E45&gt;0),D45,D44)</f>
        <v>24.62</v>
      </c>
      <c r="E51" s="128">
        <f>MAX(C51:D51)</f>
        <v>123.74</v>
      </c>
      <c r="G51" t="str">
        <f>G45</f>
        <v>per 100 youth petitioned</v>
      </c>
      <c r="L51" s="39">
        <f>IF(($E45&gt;0),L45,L44)</f>
        <v>100</v>
      </c>
      <c r="M51" s="39"/>
      <c r="N51" s="49"/>
      <c r="O51" s="49"/>
      <c r="P51" s="49"/>
      <c r="Q51" s="49"/>
      <c r="S51"/>
      <c r="T51"/>
      <c r="U51"/>
    </row>
    <row r="52" spans="2:21" ht="13.5" customHeight="1" hidden="1">
      <c r="B52" s="128" t="str">
        <f>IF(($E46&gt;0),B46,B45)</f>
        <v>per 100 youth found delinquent</v>
      </c>
      <c r="C52" s="128">
        <f>IF(($E46&gt;0),C46,C45)</f>
        <v>33.16</v>
      </c>
      <c r="D52" s="128">
        <f>IF(($E46&gt;0),D46,D45)</f>
        <v>9.03</v>
      </c>
      <c r="E52" s="60">
        <f>MAX(C52:D52)</f>
        <v>33.16</v>
      </c>
      <c r="G52" t="str">
        <f>G46</f>
        <v>per 100 youth found delinquent</v>
      </c>
      <c r="L52" s="39">
        <f>IF(($E46&gt;0),L46,L45)</f>
        <v>100</v>
      </c>
      <c r="M52" s="39"/>
      <c r="N52" s="49"/>
      <c r="O52" s="49"/>
      <c r="P52" s="49"/>
      <c r="Q52" s="49"/>
      <c r="S52"/>
      <c r="T52"/>
      <c r="U52"/>
    </row>
    <row r="53" spans="2:21" ht="13.5" customHeight="1" hidden="1">
      <c r="B53" s="5"/>
      <c r="C53" s="128"/>
      <c r="D53" s="128"/>
      <c r="E53" s="128"/>
      <c r="L53" s="134"/>
      <c r="M53" s="134"/>
      <c r="N53" s="49"/>
      <c r="O53" s="49"/>
      <c r="P53" s="49"/>
      <c r="Q53" s="49"/>
      <c r="S53"/>
      <c r="T53"/>
      <c r="U53"/>
    </row>
    <row r="54" spans="2:21" ht="13.5" customHeight="1" hidden="1">
      <c r="B54" s="128" t="str">
        <f>B48</f>
        <v>per 1000 youth</v>
      </c>
      <c r="C54" s="60">
        <f>C48</f>
        <v>482.993</v>
      </c>
      <c r="D54" s="60">
        <f>D48</f>
        <v>85.134</v>
      </c>
      <c r="E54" s="60">
        <f>MAX(C54:D54)</f>
        <v>482.993</v>
      </c>
      <c r="G54" t="str">
        <f>G48</f>
        <v>per 1000 youth</v>
      </c>
      <c r="L54" s="2">
        <f>L48</f>
        <v>1000</v>
      </c>
      <c r="M54" s="2"/>
      <c r="N54" s="49"/>
      <c r="O54" s="49"/>
      <c r="P54" s="49"/>
      <c r="Q54" s="49"/>
      <c r="S54"/>
      <c r="T54"/>
      <c r="U54"/>
    </row>
    <row r="55" spans="2:21" ht="13.5" customHeight="1" hidden="1">
      <c r="B55" s="5" t="str">
        <f aca="true" t="shared" si="9" ref="B55:D56">IF(($E49&gt;0),B49,B48)</f>
        <v>per 1000 youth</v>
      </c>
      <c r="C55" s="5">
        <f t="shared" si="9"/>
        <v>482.993</v>
      </c>
      <c r="D55" s="5">
        <f t="shared" si="9"/>
        <v>85.134</v>
      </c>
      <c r="E55" s="128">
        <f>MAX(C55:D55)</f>
        <v>482.993</v>
      </c>
      <c r="G55" t="str">
        <f>G49</f>
        <v>per 100 arrests</v>
      </c>
      <c r="L55" s="39">
        <f>IF(($E49&gt;0),L49,L48)</f>
        <v>1000</v>
      </c>
      <c r="M55" s="39"/>
      <c r="N55" s="49"/>
      <c r="O55" s="49"/>
      <c r="P55" s="49"/>
      <c r="Q55" s="49"/>
      <c r="S55"/>
      <c r="T55"/>
      <c r="U55"/>
    </row>
    <row r="56" spans="2:21" ht="13.5" customHeight="1" hidden="1">
      <c r="B56" s="5" t="str">
        <f t="shared" si="9"/>
        <v>per 100 referrals</v>
      </c>
      <c r="C56" s="5">
        <f t="shared" si="9"/>
        <v>186.77</v>
      </c>
      <c r="D56" s="5">
        <f t="shared" si="9"/>
        <v>34.37</v>
      </c>
      <c r="E56" s="128">
        <f>MAX(C56:D56)</f>
        <v>186.77</v>
      </c>
      <c r="G56" t="str">
        <f>G50</f>
        <v>per 100 referrals</v>
      </c>
      <c r="L56" s="39">
        <f>IF(($E50&gt;0),L50,L49)</f>
        <v>100</v>
      </c>
      <c r="M56" s="39"/>
      <c r="N56" s="49"/>
      <c r="O56" s="49"/>
      <c r="P56" s="49"/>
      <c r="Q56" s="49"/>
      <c r="S56"/>
      <c r="T56"/>
      <c r="U56"/>
    </row>
    <row r="57" spans="2:21" ht="13.5" customHeight="1" hidden="1">
      <c r="B57" s="5" t="str">
        <f>IF(($E51&gt;0),B51,B49)</f>
        <v>per 100 youth petitioned</v>
      </c>
      <c r="C57" s="5">
        <f>IF(($E51&gt;0),C51,C50)</f>
        <v>123.74</v>
      </c>
      <c r="D57" s="5">
        <f>IF(($E51&gt;0),D51,D50)</f>
        <v>24.62</v>
      </c>
      <c r="E57" s="128">
        <f>MAX(C57:D57)</f>
        <v>123.74</v>
      </c>
      <c r="G57" t="str">
        <f>G51</f>
        <v>per 100 youth petitioned</v>
      </c>
      <c r="L57" s="39">
        <f>IF(($E51&gt;0),L51,L50)</f>
        <v>100</v>
      </c>
      <c r="M57" s="39"/>
      <c r="N57" s="49"/>
      <c r="O57" s="49"/>
      <c r="P57" s="49"/>
      <c r="Q57" s="49"/>
      <c r="S57"/>
      <c r="T57"/>
      <c r="U57"/>
    </row>
    <row r="58" spans="2:21" ht="13.5" customHeight="1" hidden="1">
      <c r="B58" s="128" t="str">
        <f>IF(($E52&gt;0),B52,B51)</f>
        <v>per 100 youth found delinquent</v>
      </c>
      <c r="C58" s="128">
        <f>IF(($E52&gt;0),C52,C51)</f>
        <v>33.16</v>
      </c>
      <c r="D58" s="128">
        <f>IF(($E52&gt;0),D52,D51)</f>
        <v>9.03</v>
      </c>
      <c r="E58" s="60">
        <f>MAX(C58:D58)</f>
        <v>33.16</v>
      </c>
      <c r="G58" t="str">
        <f>G52</f>
        <v>per 100 youth found delinquent</v>
      </c>
      <c r="L58" s="2">
        <f>IF(($E52&gt;0),L52,L51)</f>
        <v>100</v>
      </c>
      <c r="M58" s="2"/>
      <c r="N58" s="49"/>
      <c r="O58" s="49"/>
      <c r="P58" s="49"/>
      <c r="Q58" s="49"/>
      <c r="S58"/>
      <c r="T58"/>
      <c r="U58"/>
    </row>
    <row r="59" spans="2:21" ht="13.5" customHeight="1" hidden="1">
      <c r="B59" s="128"/>
      <c r="C59" s="128"/>
      <c r="D59" s="128"/>
      <c r="E59" s="128"/>
      <c r="L59" s="134"/>
      <c r="M59" s="134"/>
      <c r="N59" s="49"/>
      <c r="O59" s="49"/>
      <c r="P59" s="49"/>
      <c r="Q59" s="49"/>
      <c r="S59"/>
      <c r="T59"/>
      <c r="U59"/>
    </row>
    <row r="60" spans="2:21" ht="13.5" customHeight="1" hidden="1">
      <c r="B60" s="128" t="str">
        <f>B54</f>
        <v>per 1000 youth</v>
      </c>
      <c r="C60" s="60">
        <f>C54</f>
        <v>482.993</v>
      </c>
      <c r="D60" s="60">
        <f>D54</f>
        <v>85.134</v>
      </c>
      <c r="E60" s="60">
        <f>MAX(C60:D60)</f>
        <v>482.993</v>
      </c>
      <c r="G60" t="str">
        <f>G54</f>
        <v>per 1000 youth</v>
      </c>
      <c r="L60" s="2">
        <f>L54</f>
        <v>1000</v>
      </c>
      <c r="M60" s="2"/>
      <c r="N60" s="49"/>
      <c r="O60" s="49"/>
      <c r="P60" s="49"/>
      <c r="Q60" s="49"/>
      <c r="S60"/>
      <c r="T60"/>
      <c r="U60"/>
    </row>
    <row r="61" spans="2:21" ht="13.5" customHeight="1" hidden="1">
      <c r="B61" s="5" t="str">
        <f aca="true" t="shared" si="10" ref="B61:D62">IF(($E55&gt;0),B55,B54)</f>
        <v>per 1000 youth</v>
      </c>
      <c r="C61" s="5">
        <f t="shared" si="10"/>
        <v>482.993</v>
      </c>
      <c r="D61" s="5">
        <f t="shared" si="10"/>
        <v>85.134</v>
      </c>
      <c r="E61" s="128">
        <f>MAX(C61:D61)</f>
        <v>482.993</v>
      </c>
      <c r="G61" t="str">
        <f>G55</f>
        <v>per 100 arrests</v>
      </c>
      <c r="L61" s="39">
        <f>IF(($E55&gt;0),L55,L54)</f>
        <v>1000</v>
      </c>
      <c r="M61" s="39"/>
      <c r="N61" s="49"/>
      <c r="O61" s="49"/>
      <c r="P61" s="49"/>
      <c r="Q61" s="49"/>
      <c r="S61"/>
      <c r="T61"/>
      <c r="U61"/>
    </row>
    <row r="62" spans="2:21" ht="13.5" customHeight="1" hidden="1">
      <c r="B62" s="5" t="str">
        <f t="shared" si="10"/>
        <v>per 100 referrals</v>
      </c>
      <c r="C62" s="5">
        <f t="shared" si="10"/>
        <v>186.77</v>
      </c>
      <c r="D62" s="5">
        <f t="shared" si="10"/>
        <v>34.37</v>
      </c>
      <c r="E62" s="128">
        <f>MAX(C62:D62)</f>
        <v>186.77</v>
      </c>
      <c r="G62" t="str">
        <f>G56</f>
        <v>per 100 referrals</v>
      </c>
      <c r="L62" s="39">
        <f>IF(($E56&gt;0),L56,L55)</f>
        <v>100</v>
      </c>
      <c r="M62" s="39"/>
      <c r="N62" s="49"/>
      <c r="O62" s="49"/>
      <c r="P62" s="49"/>
      <c r="Q62" s="49"/>
      <c r="S62"/>
      <c r="T62"/>
      <c r="U62"/>
    </row>
    <row r="63" spans="2:21" ht="13.5" customHeight="1" hidden="1">
      <c r="B63" s="5" t="str">
        <f>IF(($E57&gt;0),B57,B55)</f>
        <v>per 100 youth petitioned</v>
      </c>
      <c r="C63" s="5">
        <f>IF(($E57&gt;0),C57,C56)</f>
        <v>123.74</v>
      </c>
      <c r="D63" s="5">
        <f>IF(($E57&gt;0),D57,D56)</f>
        <v>24.62</v>
      </c>
      <c r="E63" s="128">
        <f>MAX(C63:D63)</f>
        <v>123.74</v>
      </c>
      <c r="G63" t="str">
        <f>G57</f>
        <v>per 100 youth petitioned</v>
      </c>
      <c r="L63" s="39">
        <f>IF(($E57&gt;0),L57,L56)</f>
        <v>100</v>
      </c>
      <c r="M63" s="39"/>
      <c r="N63" s="49"/>
      <c r="O63" s="49"/>
      <c r="P63" s="49"/>
      <c r="Q63" s="49"/>
      <c r="S63"/>
      <c r="T63"/>
      <c r="U63"/>
    </row>
    <row r="64" spans="2:21" ht="13.5" customHeight="1" hidden="1">
      <c r="B64" s="128" t="str">
        <f>IF(($E58&gt;0),B58,B57)</f>
        <v>per 100 youth found delinquent</v>
      </c>
      <c r="C64" s="128">
        <f>IF(($E58&gt;0),C58,C57)</f>
        <v>33.16</v>
      </c>
      <c r="D64" s="128">
        <f>IF(($E58&gt;0),D58,D57)</f>
        <v>9.03</v>
      </c>
      <c r="E64" s="60">
        <f>MAX(C64:D64)</f>
        <v>33.16</v>
      </c>
      <c r="G64" t="str">
        <f>G58</f>
        <v>per 100 youth found delinquent</v>
      </c>
      <c r="L64" s="2">
        <f>IF(($E58&gt;0),L58,L57)</f>
        <v>100</v>
      </c>
      <c r="M64" s="2"/>
      <c r="N64" s="49"/>
      <c r="O64" s="49"/>
      <c r="P64" s="49"/>
      <c r="Q64" s="49"/>
      <c r="S64"/>
      <c r="T64"/>
      <c r="U64"/>
    </row>
    <row r="65" spans="2:21" ht="13.5" customHeight="1" hidden="1">
      <c r="B65" s="171" t="s">
        <v>224</v>
      </c>
      <c r="L65" s="134"/>
      <c r="M65" s="134"/>
      <c r="N65" s="49"/>
      <c r="O65" s="49"/>
      <c r="P65" s="49"/>
      <c r="Q65" s="49"/>
      <c r="S65"/>
      <c r="T65"/>
      <c r="U65"/>
    </row>
    <row r="66" spans="2:21" ht="13.5" customHeight="1" hidden="1">
      <c r="B66" s="128" t="str">
        <f>B60</f>
        <v>per 1000 youth</v>
      </c>
      <c r="C66" s="60">
        <f>C60</f>
        <v>482.993</v>
      </c>
      <c r="D66" s="60">
        <f>D60</f>
        <v>85.134</v>
      </c>
      <c r="E66" s="60">
        <f>MAX(C66:D66)</f>
        <v>482.993</v>
      </c>
      <c r="G66" t="str">
        <f>G60</f>
        <v>per 1000 youth</v>
      </c>
      <c r="L66" s="2">
        <f>L60</f>
        <v>1000</v>
      </c>
      <c r="M66" s="2">
        <f>IF((B66=G66),1,2)</f>
        <v>1</v>
      </c>
      <c r="N66" s="49"/>
      <c r="O66" s="49"/>
      <c r="P66" s="49"/>
      <c r="Q66" s="49"/>
      <c r="S66"/>
      <c r="T66"/>
      <c r="U66"/>
    </row>
    <row r="67" spans="2:21" ht="13.5" customHeight="1" hidden="1">
      <c r="B67" s="5" t="str">
        <f aca="true" t="shared" si="11" ref="B67:D68">IF(($E61&gt;0),B61,B60)</f>
        <v>per 1000 youth</v>
      </c>
      <c r="C67" s="5">
        <f t="shared" si="11"/>
        <v>482.993</v>
      </c>
      <c r="D67" s="5">
        <f t="shared" si="11"/>
        <v>85.134</v>
      </c>
      <c r="E67" s="128">
        <f>MAX(C67:D67)</f>
        <v>482.993</v>
      </c>
      <c r="G67" t="str">
        <f>G61</f>
        <v>per 100 arrests</v>
      </c>
      <c r="L67" s="39">
        <f>IF(($E61&gt;0),L61,L60)</f>
        <v>1000</v>
      </c>
      <c r="M67" s="2">
        <f>IF((B67=G67),1,2)</f>
        <v>2</v>
      </c>
      <c r="N67" s="49"/>
      <c r="O67" s="49"/>
      <c r="P67" s="49"/>
      <c r="Q67" s="49"/>
      <c r="S67"/>
      <c r="T67"/>
      <c r="U67"/>
    </row>
    <row r="68" spans="2:21" ht="13.5" customHeight="1" hidden="1">
      <c r="B68" s="5" t="str">
        <f t="shared" si="11"/>
        <v>per 100 referrals</v>
      </c>
      <c r="C68" s="5">
        <f t="shared" si="11"/>
        <v>186.77</v>
      </c>
      <c r="D68" s="5">
        <f t="shared" si="11"/>
        <v>34.37</v>
      </c>
      <c r="E68" s="128">
        <f>MAX(C68:D68)</f>
        <v>186.77</v>
      </c>
      <c r="G68" t="str">
        <f>G62</f>
        <v>per 100 referrals</v>
      </c>
      <c r="L68" s="39">
        <f>IF(($E62&gt;0),L62,L61)</f>
        <v>100</v>
      </c>
      <c r="M68" s="2">
        <f>IF((B68=G68),1,2)</f>
        <v>1</v>
      </c>
      <c r="N68" s="49"/>
      <c r="O68" s="49"/>
      <c r="P68" s="49"/>
      <c r="Q68" s="49"/>
      <c r="S68"/>
      <c r="T68"/>
      <c r="U68"/>
    </row>
    <row r="69" spans="2:21" ht="13.5" customHeight="1" hidden="1">
      <c r="B69" s="5" t="str">
        <f>IF(($E63&gt;0),B63,B61)</f>
        <v>per 100 youth petitioned</v>
      </c>
      <c r="C69" s="5">
        <f>IF(($E63&gt;0),C63,C62)</f>
        <v>123.74</v>
      </c>
      <c r="D69" s="5">
        <f>IF(($E63&gt;0),D63,D62)</f>
        <v>24.62</v>
      </c>
      <c r="E69" s="128">
        <f>MAX(C69:D69)</f>
        <v>123.74</v>
      </c>
      <c r="G69" t="str">
        <f>G63</f>
        <v>per 100 youth petitioned</v>
      </c>
      <c r="L69" s="39">
        <f>IF(($E63&gt;0),L63,L62)</f>
        <v>100</v>
      </c>
      <c r="M69" s="2">
        <f>IF((B69=G69),1,2)</f>
        <v>1</v>
      </c>
      <c r="N69" s="49"/>
      <c r="O69" s="49"/>
      <c r="P69" s="49"/>
      <c r="Q69" s="49"/>
      <c r="S69"/>
      <c r="T69"/>
      <c r="U69"/>
    </row>
    <row r="70" spans="2:21" ht="13.5" customHeight="1" hidden="1">
      <c r="B70" s="128" t="str">
        <f>IF(($E64&gt;0),B64,B63)</f>
        <v>per 100 youth found delinquent</v>
      </c>
      <c r="C70" s="128">
        <f>IF(($E64&gt;0),C64,C63)</f>
        <v>33.16</v>
      </c>
      <c r="D70" s="128">
        <f>IF(($E64&gt;0),D64,D63)</f>
        <v>9.03</v>
      </c>
      <c r="E70" s="60">
        <f>MAX(C70:D70)</f>
        <v>33.16</v>
      </c>
      <c r="G70" t="str">
        <f>G64</f>
        <v>per 100 youth found delinquent</v>
      </c>
      <c r="L70" s="2">
        <f>IF(($E64&gt;0),L64,L63)</f>
        <v>100</v>
      </c>
      <c r="M70" s="2">
        <f>IF((B70=G70),1,2)</f>
        <v>1</v>
      </c>
      <c r="N70" s="49"/>
      <c r="O70" s="49"/>
      <c r="P70" s="49"/>
      <c r="Q70" s="49"/>
      <c r="S70"/>
      <c r="T70"/>
      <c r="U70"/>
    </row>
    <row r="71" spans="14:21" ht="13.5" customHeight="1" hidden="1">
      <c r="N71" s="49"/>
      <c r="O71" s="49"/>
      <c r="P71" s="49"/>
      <c r="Q71" s="49"/>
      <c r="S71"/>
      <c r="T71"/>
      <c r="U71"/>
    </row>
    <row r="72" spans="14:21" ht="13.5" customHeight="1" hidden="1">
      <c r="N72" s="49"/>
      <c r="O72" s="49"/>
      <c r="P72" s="49"/>
      <c r="Q72" s="49"/>
      <c r="S72"/>
      <c r="T72"/>
      <c r="U72"/>
    </row>
    <row r="73" spans="14:21" ht="13.5" customHeight="1" hidden="1">
      <c r="N73" s="49"/>
      <c r="O73" s="49"/>
      <c r="P73" s="49"/>
      <c r="Q73" s="49"/>
      <c r="S73"/>
      <c r="T73"/>
      <c r="U73"/>
    </row>
    <row r="74" spans="14:21" ht="13.5" customHeight="1" hidden="1">
      <c r="N74" s="49"/>
      <c r="O74" s="49"/>
      <c r="P74" s="49"/>
      <c r="Q74" s="49"/>
      <c r="S74"/>
      <c r="T74"/>
      <c r="U74"/>
    </row>
    <row r="75" ht="13.5" customHeight="1" hidden="1"/>
    <row r="76" ht="13.5" customHeight="1" hidden="1"/>
    <row r="77" ht="13.5" customHeight="1" hidden="1"/>
    <row r="78" ht="13.5" customHeight="1" hidden="1"/>
    <row r="79" ht="13.5" customHeight="1" hidden="1"/>
    <row r="80" ht="13.5" customHeight="1" hidden="1"/>
    <row r="81" ht="13.5" customHeight="1" hidden="1"/>
    <row r="82" ht="13.5" customHeight="1" hidden="1">
      <c r="B82" s="92"/>
    </row>
    <row r="83" ht="13.5" customHeight="1" hidden="1">
      <c r="B83" s="31"/>
    </row>
    <row r="84" ht="13.5" customHeight="1" hidden="1"/>
    <row r="85" ht="13.5" customHeight="1" hidden="1"/>
    <row r="86" ht="13.5" customHeight="1" hidden="1"/>
    <row r="87" ht="13.5" customHeight="1" hidden="1"/>
    <row r="88" ht="13.5" customHeight="1" hidden="1"/>
    <row r="89" ht="13.5" customHeight="1" hidden="1"/>
    <row r="90" ht="13.5" customHeight="1" hidden="1"/>
  </sheetData>
  <mergeCells count="5">
    <mergeCell ref="B40:J40"/>
    <mergeCell ref="C2:D2"/>
    <mergeCell ref="C3:D3"/>
    <mergeCell ref="R1:U4"/>
    <mergeCell ref="N2:Q4"/>
  </mergeCells>
  <conditionalFormatting sqref="G7:G15">
    <cfRule type="expression" priority="1" dxfId="0" stopIfTrue="1">
      <formula>$L7=1</formula>
    </cfRule>
    <cfRule type="expression" priority="2" dxfId="1" stopIfTrue="1">
      <formula>$L7=2</formula>
    </cfRule>
    <cfRule type="expression" priority="3" dxfId="2" stopIfTrue="1">
      <formula>$L7&gt;3</formula>
    </cfRule>
  </conditionalFormatting>
  <conditionalFormatting sqref="F27">
    <cfRule type="expression" priority="4" dxfId="3" stopIfTrue="1">
      <formula>M66=2</formula>
    </cfRule>
  </conditionalFormatting>
  <conditionalFormatting sqref="F28">
    <cfRule type="expression" priority="5" dxfId="0" stopIfTrue="1">
      <formula>M67=2</formula>
    </cfRule>
  </conditionalFormatting>
  <conditionalFormatting sqref="F29">
    <cfRule type="expression" priority="6" dxfId="0" stopIfTrue="1">
      <formula>M68=2</formula>
    </cfRule>
  </conditionalFormatting>
  <conditionalFormatting sqref="F30">
    <cfRule type="expression" priority="7" dxfId="0" stopIfTrue="1">
      <formula>M68=2</formula>
    </cfRule>
  </conditionalFormatting>
  <conditionalFormatting sqref="F31">
    <cfRule type="expression" priority="8" dxfId="0" stopIfTrue="1">
      <formula>M68=2</formula>
    </cfRule>
  </conditionalFormatting>
  <conditionalFormatting sqref="F32:F33">
    <cfRule type="expression" priority="9" dxfId="0" stopIfTrue="1">
      <formula>M69=2</formula>
    </cfRule>
  </conditionalFormatting>
  <conditionalFormatting sqref="F34">
    <cfRule type="expression" priority="10" dxfId="0" stopIfTrue="1">
      <formula>M70=2</formula>
    </cfRule>
  </conditionalFormatting>
  <conditionalFormatting sqref="F35">
    <cfRule type="expression" priority="11" dxfId="0" stopIfTrue="1">
      <formula>M69=2</formula>
    </cfRule>
  </conditionalFormatting>
  <conditionalFormatting sqref="B86">
    <cfRule type="expression" priority="12" dxfId="0" stopIfTrue="1">
      <formula>$D$83=2</formula>
    </cfRule>
  </conditionalFormatting>
  <printOptions/>
  <pageMargins left="0.53" right="0.42" top="0.75" bottom="0.5" header="0" footer="0"/>
  <pageSetup horizontalDpi="300" verticalDpi="300" orientation="portrait"/>
</worksheet>
</file>

<file path=xl/worksheets/sheet5.xml><?xml version="1.0" encoding="utf-8"?>
<worksheet xmlns="http://schemas.openxmlformats.org/spreadsheetml/2006/main" xmlns:r="http://schemas.openxmlformats.org/officeDocument/2006/relationships">
  <dimension ref="B1:W83"/>
  <sheetViews>
    <sheetView showGridLines="0" showRowColHeaders="0" zoomScale="95" zoomScaleNormal="95" workbookViewId="0" topLeftCell="A1">
      <selection activeCell="A1" sqref="A1"/>
    </sheetView>
  </sheetViews>
  <sheetFormatPr defaultColWidth="9.140625" defaultRowHeight="15"/>
  <cols>
    <col min="1" max="1" width="2.57421875" style="0" customWidth="1"/>
    <col min="2" max="2" width="45.7109375" style="0" customWidth="1"/>
    <col min="3" max="3" width="10.57421875" style="0" hidden="1" customWidth="1"/>
    <col min="4" max="4" width="15.7109375" style="0" customWidth="1"/>
    <col min="5" max="5" width="15.7109375" style="0" hidden="1" customWidth="1"/>
    <col min="6" max="6" width="16.421875" style="0" customWidth="1"/>
    <col min="7" max="7" width="15.7109375" style="0" customWidth="1"/>
    <col min="8" max="8" width="8.00390625" style="0" hidden="1" customWidth="1"/>
    <col min="9" max="9" width="7.8515625" style="0" hidden="1" customWidth="1"/>
    <col min="10" max="10" width="8.00390625" style="0" hidden="1" customWidth="1"/>
    <col min="11" max="11" width="8.8515625" style="0" hidden="1" customWidth="1"/>
    <col min="12" max="13" width="9.140625" style="0" hidden="1" customWidth="1"/>
    <col min="14" max="14" width="9.8515625" style="0" hidden="1" customWidth="1"/>
    <col min="15" max="15" width="7.8515625" style="0" hidden="1" customWidth="1"/>
    <col min="16" max="16" width="10.00390625" style="0" hidden="1" customWidth="1"/>
    <col min="17" max="18" width="8.8515625" style="0" hidden="1" customWidth="1"/>
    <col min="19" max="20" width="12.57421875" style="28" hidden="1" customWidth="1"/>
    <col min="21" max="21" width="12.00390625" style="40" hidden="1" customWidth="1"/>
    <col min="22" max="23" width="9.140625" style="0" customWidth="1"/>
    <col min="24" max="27" width="8.8515625" style="0" customWidth="1"/>
  </cols>
  <sheetData>
    <row r="1" spans="2:21" ht="27.75" customHeight="1">
      <c r="B1" s="38" t="s">
        <v>218</v>
      </c>
      <c r="F1" s="120" t="s">
        <v>126</v>
      </c>
      <c r="G1" s="122" t="str">
        <f>'Data Entry'!F5</f>
        <v>Asian</v>
      </c>
      <c r="H1" s="47"/>
      <c r="I1" s="47"/>
      <c r="J1" s="47"/>
      <c r="K1" s="160"/>
      <c r="N1" s="162"/>
      <c r="O1" s="162"/>
      <c r="P1" s="162"/>
      <c r="Q1" s="162"/>
      <c r="R1" s="56" t="s">
        <v>200</v>
      </c>
      <c r="S1" s="56"/>
      <c r="T1" s="56"/>
      <c r="U1" s="56"/>
    </row>
    <row r="2" spans="2:21" ht="13.5" customHeight="1">
      <c r="B2" s="164" t="str">
        <f>'Data Entry'!A2</f>
        <v>State : Virginia</v>
      </c>
      <c r="C2" s="135" t="str">
        <f>'Data Entry'!C3</f>
        <v> Reporting Period  7/1/2012</v>
      </c>
      <c r="D2" s="119"/>
      <c r="H2" s="32"/>
      <c r="I2" s="32"/>
      <c r="N2" s="166" t="s">
        <v>42</v>
      </c>
      <c r="O2" s="160"/>
      <c r="P2" s="160"/>
      <c r="Q2" s="160"/>
      <c r="R2" s="56"/>
      <c r="S2" s="56"/>
      <c r="T2" s="56"/>
      <c r="U2" s="56"/>
    </row>
    <row r="3" spans="2:21" ht="13.5" customHeight="1">
      <c r="B3" s="164" t="str">
        <f>'Data Entry'!A3</f>
        <v>County : Statewide</v>
      </c>
      <c r="C3" s="85" t="str">
        <f>'Data Entry'!C4</f>
        <v>through  6/30/2013</v>
      </c>
      <c r="D3" s="119"/>
      <c r="E3" s="102"/>
      <c r="F3" s="48" t="s">
        <v>197</v>
      </c>
      <c r="G3" s="48" t="str">
        <f>'Data Entry'!$K$5</f>
        <v>White</v>
      </c>
      <c r="H3" s="33"/>
      <c r="I3" s="33"/>
      <c r="J3" s="33"/>
      <c r="K3" s="33"/>
      <c r="N3" s="160"/>
      <c r="O3" s="160"/>
      <c r="P3" s="160"/>
      <c r="Q3" s="160"/>
      <c r="R3" s="56"/>
      <c r="S3" s="56"/>
      <c r="T3" s="56"/>
      <c r="U3" s="56"/>
    </row>
    <row r="4" spans="2:21" ht="8.25" customHeight="1">
      <c r="B4" s="130"/>
      <c r="C4" s="154"/>
      <c r="D4" s="154"/>
      <c r="E4" s="154"/>
      <c r="F4" s="154"/>
      <c r="G4" s="66"/>
      <c r="H4" s="66"/>
      <c r="I4" s="66"/>
      <c r="J4" s="8"/>
      <c r="K4" s="8"/>
      <c r="N4" s="160"/>
      <c r="O4" s="160"/>
      <c r="P4" s="160"/>
      <c r="Q4" s="160"/>
      <c r="R4" s="56"/>
      <c r="S4" s="56"/>
      <c r="T4" s="56"/>
      <c r="U4" s="56"/>
    </row>
    <row r="5" spans="2:23" ht="66.75" customHeight="1" thickBot="1">
      <c r="B5" s="107" t="s">
        <v>1</v>
      </c>
      <c r="C5" s="20" t="s">
        <v>236</v>
      </c>
      <c r="D5" s="161" t="s">
        <v>189</v>
      </c>
      <c r="E5" s="20" t="s">
        <v>148</v>
      </c>
      <c r="F5" s="20" t="s">
        <v>136</v>
      </c>
      <c r="G5" s="93" t="s">
        <v>98</v>
      </c>
      <c r="H5" s="80"/>
      <c r="I5" s="80"/>
      <c r="J5" s="108" t="s">
        <v>191</v>
      </c>
      <c r="K5" s="73" t="s">
        <v>154</v>
      </c>
      <c r="L5" s="160" t="s">
        <v>70</v>
      </c>
      <c r="M5" s="160" t="s">
        <v>203</v>
      </c>
      <c r="N5" s="153" t="s">
        <v>107</v>
      </c>
      <c r="O5" s="162" t="s">
        <v>125</v>
      </c>
      <c r="P5" s="162" t="s">
        <v>213</v>
      </c>
      <c r="Q5" s="162" t="s">
        <v>227</v>
      </c>
      <c r="R5" t="s">
        <v>32</v>
      </c>
      <c r="S5" s="160" t="s">
        <v>63</v>
      </c>
      <c r="T5" t="s">
        <v>226</v>
      </c>
      <c r="U5" t="s">
        <v>127</v>
      </c>
      <c r="W5" s="160"/>
    </row>
    <row r="6" spans="2:21" ht="20.25" customHeight="1" thickBot="1">
      <c r="B6" s="115" t="str">
        <f>'Data Entry'!A6</f>
        <v>1. Population at risk (age 10  through 17 ) </v>
      </c>
      <c r="C6" s="159">
        <f>'Data Entry'!K6</f>
        <v>482993</v>
      </c>
      <c r="D6" s="156"/>
      <c r="E6" s="159">
        <f>'Data Entry'!F6</f>
        <v>46123</v>
      </c>
      <c r="F6" s="156"/>
      <c r="G6" s="84"/>
      <c r="H6" s="16"/>
      <c r="I6" s="78"/>
      <c r="J6" s="57"/>
      <c r="K6" s="127"/>
      <c r="L6">
        <f>IF(('Data Entry'!F6&gt;('Data Entry'!B6/100)),1,100)</f>
        <v>1</v>
      </c>
      <c r="M6" t="s">
        <v>81</v>
      </c>
      <c r="N6" s="162"/>
      <c r="O6" s="162"/>
      <c r="P6" s="162"/>
      <c r="Q6" s="162"/>
      <c r="S6"/>
      <c r="T6"/>
      <c r="U6"/>
    </row>
    <row r="7" spans="2:21" ht="18" customHeight="1" thickBot="1">
      <c r="B7" s="115" t="str">
        <f>'Data Entry'!A7</f>
        <v>2. Juvenile Arrests </v>
      </c>
      <c r="C7" s="159">
        <f>'Data Entry'!K7</f>
        <v>0</v>
      </c>
      <c r="D7" s="68">
        <f>IF((AND(C66&gt;0,C7&gt;0)),(C7/C66),0)</f>
        <v>0</v>
      </c>
      <c r="E7" s="159">
        <f>'Data Entry'!F7</f>
        <v>0</v>
      </c>
      <c r="F7" s="68">
        <f>IF((AND($E$7&gt;0,$D$66&gt;0)),($E$7/$D$66),0)</f>
        <v>0</v>
      </c>
      <c r="G7" s="138" t="str">
        <f aca="true" t="shared" si="0" ref="G7:G15">IF(L$6=100,"*",IF(M7=FALSE,"--",IF(K7=20,"**",($F7/$D7))))</f>
        <v>**</v>
      </c>
      <c r="H7" s="55"/>
      <c r="I7" s="64"/>
      <c r="J7" s="23">
        <f>IF((ABS($U7)&gt;Defaults!D$7),1,2)</f>
        <v>2</v>
      </c>
      <c r="K7" s="15">
        <f>IF((AND(N7&gt;Defaults!B$12,(N7+O7)&gt;Defaults!B$13,P7&gt;Defaults!B$12,(P7+Q7)&gt;Defaults!B$13)),1,20)</f>
        <v>20</v>
      </c>
      <c r="L7">
        <f aca="true" t="shared" si="1" ref="L7:L15">(J7*K7+L$6)-1</f>
        <v>40</v>
      </c>
      <c r="M7" t="b">
        <f aca="true" t="shared" si="2" ref="M7:M15">(ISNUMBER(J7))</f>
        <v>1</v>
      </c>
      <c r="N7" s="123">
        <f aca="true" t="shared" si="3" ref="N7:N15">E7</f>
        <v>0</v>
      </c>
      <c r="O7" s="123">
        <f>E6-E7</f>
        <v>46123</v>
      </c>
      <c r="P7" s="123">
        <f aca="true" t="shared" si="4" ref="P7:P15">C7</f>
        <v>0</v>
      </c>
      <c r="Q7" s="123">
        <f>C6-C7</f>
        <v>482993</v>
      </c>
      <c r="R7">
        <f>0.05+(D7*(D66))</f>
        <v>0.05</v>
      </c>
      <c r="S7">
        <f aca="true" t="shared" si="5" ref="S7:S15">ROUND(R7-E7,0)</f>
        <v>0</v>
      </c>
      <c r="T7">
        <f aca="true" t="shared" si="6" ref="T7:T15">S7^2</f>
        <v>0</v>
      </c>
      <c r="U7">
        <f aca="true" t="shared" si="7" ref="U7:U15">T7/R7</f>
        <v>0</v>
      </c>
    </row>
    <row r="8" spans="2:21" ht="18" customHeight="1" thickBot="1">
      <c r="B8" s="115" t="str">
        <f>'Data Entry'!A8</f>
        <v>3. Refer to Juvenile Court</v>
      </c>
      <c r="C8" s="159">
        <f>'Data Entry'!K8</f>
        <v>18677</v>
      </c>
      <c r="D8" s="68">
        <f>IF((AND(C67&gt;0,C8&gt;0)),(C8/C67),0)</f>
        <v>38.669297484642634</v>
      </c>
      <c r="E8" s="159">
        <f>'Data Entry'!F8</f>
        <v>467</v>
      </c>
      <c r="F8" s="68">
        <f>IF((AND($E$8&gt;0,$D$67&gt;0)),($E8/$D67),0)</f>
        <v>10.125100275350693</v>
      </c>
      <c r="G8" s="138">
        <f t="shared" si="0"/>
        <v>0.2618382265509695</v>
      </c>
      <c r="H8" s="55"/>
      <c r="I8" s="64"/>
      <c r="J8" s="23">
        <f>IF((ABS($U8)&gt;Defaults!D$7),1,2)</f>
        <v>1</v>
      </c>
      <c r="K8" s="15">
        <f>IF((AND(N8&gt;Defaults!B$12,(N8+O8)&gt;Defaults!B$13,P8&gt;Defaults!B$12,(P8+Q8)&gt;Defaults!B$13)),1,20)</f>
        <v>1</v>
      </c>
      <c r="L8">
        <f t="shared" si="1"/>
        <v>1</v>
      </c>
      <c r="M8" t="b">
        <f t="shared" si="2"/>
        <v>1</v>
      </c>
      <c r="N8" s="123">
        <f t="shared" si="3"/>
        <v>467</v>
      </c>
      <c r="O8" s="123">
        <f>((D67*L67)-E8)+0.05</f>
        <v>45656.05</v>
      </c>
      <c r="P8" s="123">
        <f t="shared" si="4"/>
        <v>18677</v>
      </c>
      <c r="Q8" s="123">
        <f>(C$67*L67)-C8</f>
        <v>464316</v>
      </c>
      <c r="R8">
        <f>D8*D67+0.05</f>
        <v>1783.594007884172</v>
      </c>
      <c r="S8">
        <f t="shared" si="5"/>
        <v>1317</v>
      </c>
      <c r="T8">
        <f t="shared" si="6"/>
        <v>1734489</v>
      </c>
      <c r="U8">
        <f t="shared" si="7"/>
        <v>972.4685059115982</v>
      </c>
    </row>
    <row r="9" spans="2:21" ht="18" customHeight="1" thickBot="1">
      <c r="B9" s="115" t="str">
        <f>'Data Entry'!A9</f>
        <v>4. Cases Diverted </v>
      </c>
      <c r="C9" s="159">
        <f>'Data Entry'!K9</f>
        <v>2998</v>
      </c>
      <c r="D9" s="68">
        <f>IF((AND(C68&gt;0,C9&gt;0)),((C9/C68)),0)</f>
        <v>16.051828452106868</v>
      </c>
      <c r="E9" s="159">
        <f>'Data Entry'!F9</f>
        <v>114</v>
      </c>
      <c r="F9" s="68">
        <f>IF((AND($E$9&gt;0,$D$68&gt;0)),(($E$9/$D$68)),0)</f>
        <v>24.411134903640257</v>
      </c>
      <c r="G9" s="138">
        <f t="shared" si="0"/>
        <v>1.5207697351410578</v>
      </c>
      <c r="H9" s="55"/>
      <c r="I9" s="64"/>
      <c r="J9" s="23">
        <f>IF((ABS($U9)&gt;Defaults!D$7),1,2)</f>
        <v>1</v>
      </c>
      <c r="K9" s="15">
        <f>IF((AND(N9&gt;Defaults!B$12,(N9+O9)&gt;Defaults!B$13,P9&gt;Defaults!B$12,(P9+Q9)&gt;Defaults!B$13)),1,20)</f>
        <v>1</v>
      </c>
      <c r="L9">
        <f t="shared" si="1"/>
        <v>1</v>
      </c>
      <c r="M9" t="b">
        <f t="shared" si="2"/>
        <v>1</v>
      </c>
      <c r="N9" s="123">
        <f t="shared" si="3"/>
        <v>114</v>
      </c>
      <c r="O9" s="123">
        <f>(D$68*L68)-E9</f>
        <v>353</v>
      </c>
      <c r="P9" s="123">
        <f t="shared" si="4"/>
        <v>2998</v>
      </c>
      <c r="Q9" s="123">
        <f>(C$68*L68)-C9</f>
        <v>15679</v>
      </c>
      <c r="R9">
        <f>D9*D68+0.05</f>
        <v>75.01203887133907</v>
      </c>
      <c r="S9">
        <f t="shared" si="5"/>
        <v>-39</v>
      </c>
      <c r="T9">
        <f t="shared" si="6"/>
        <v>1521</v>
      </c>
      <c r="U9">
        <f t="shared" si="7"/>
        <v>20.276745211642957</v>
      </c>
    </row>
    <row r="10" spans="2:21" ht="18" customHeight="1" thickBot="1">
      <c r="B10" s="115" t="str">
        <f>'Data Entry'!A10</f>
        <v>5. Cases Involving Secure Detention</v>
      </c>
      <c r="C10" s="159">
        <f>'Data Entry'!K10</f>
        <v>2398</v>
      </c>
      <c r="D10" s="68">
        <f>IF(((AND(C68&gt;0,C10&gt;0))),(C10/(C68)),0)</f>
        <v>12.83932109011083</v>
      </c>
      <c r="E10" s="159">
        <f>'Data Entry'!F10</f>
        <v>45</v>
      </c>
      <c r="F10" s="68">
        <f>IF(((AND($E$10&gt;0,$D$68&gt;0))),($E$10/($D$68)),0)</f>
        <v>9.635974304068522</v>
      </c>
      <c r="G10" s="138">
        <f t="shared" si="0"/>
        <v>0.7505049711304745</v>
      </c>
      <c r="H10" s="55"/>
      <c r="I10" s="64"/>
      <c r="J10" s="23">
        <f>IF((ABS($U10)&gt;Defaults!D$7),1,2)</f>
        <v>2</v>
      </c>
      <c r="K10" s="15">
        <f>IF((AND(N10&gt;Defaults!B$12,(N10+O10)&gt;Defaults!B$13,P10&gt;Defaults!B$12,(P10+Q10)&gt;Defaults!B$13)),1,20)</f>
        <v>1</v>
      </c>
      <c r="L10">
        <f t="shared" si="1"/>
        <v>2</v>
      </c>
      <c r="M10" t="b">
        <f t="shared" si="2"/>
        <v>1</v>
      </c>
      <c r="N10" s="123">
        <f t="shared" si="3"/>
        <v>45</v>
      </c>
      <c r="O10" s="123">
        <f>(D$68*L68)-E10</f>
        <v>422</v>
      </c>
      <c r="P10" s="123">
        <f t="shared" si="4"/>
        <v>2398</v>
      </c>
      <c r="Q10" s="123">
        <f>(C$68*L68)-C10</f>
        <v>16279</v>
      </c>
      <c r="R10">
        <f>D10*D68+0.05</f>
        <v>60.009629490817574</v>
      </c>
      <c r="S10">
        <f t="shared" si="5"/>
        <v>15</v>
      </c>
      <c r="T10">
        <f t="shared" si="6"/>
        <v>225</v>
      </c>
      <c r="U10">
        <f t="shared" si="7"/>
        <v>3.7493982533991246</v>
      </c>
    </row>
    <row r="11" spans="2:21" ht="18" customHeight="1" thickBot="1">
      <c r="B11" s="115" t="str">
        <f>'Data Entry'!A11</f>
        <v>6. Cases Petitioned (Charge Filed)</v>
      </c>
      <c r="C11" s="159">
        <f>'Data Entry'!K11</f>
        <v>12374</v>
      </c>
      <c r="D11" s="68">
        <f>IF(((AND(C68&gt;0,C11&gt;0))),(C11/(C68)),0)</f>
        <v>66.25261016223162</v>
      </c>
      <c r="E11" s="159">
        <f>'Data Entry'!F11</f>
        <v>263</v>
      </c>
      <c r="F11" s="68">
        <f>IF(((AND($E$11&gt;0,$D$68&gt;0))),($E$11/($D$68)),0)</f>
        <v>56.3169164882227</v>
      </c>
      <c r="G11" s="138">
        <f t="shared" si="0"/>
        <v>0.8500331737922543</v>
      </c>
      <c r="H11" s="55"/>
      <c r="I11" s="64"/>
      <c r="J11" s="23">
        <f>IF((ABS($U11)&gt;Defaults!D$7),1,2)</f>
        <v>1</v>
      </c>
      <c r="K11" s="15">
        <f>IF((AND(N11&gt;Defaults!B$12,(N11+O11)&gt;Defaults!B$13,P11&gt;Defaults!B$12,(P11+Q11)&gt;Defaults!B$13)),1,20)</f>
        <v>1</v>
      </c>
      <c r="L11">
        <f t="shared" si="1"/>
        <v>1</v>
      </c>
      <c r="M11" t="b">
        <f t="shared" si="2"/>
        <v>1</v>
      </c>
      <c r="N11" s="123">
        <f t="shared" si="3"/>
        <v>263</v>
      </c>
      <c r="O11" s="123">
        <f>(D$68*L68)-E11</f>
        <v>204</v>
      </c>
      <c r="P11" s="123">
        <f t="shared" si="4"/>
        <v>12374</v>
      </c>
      <c r="Q11" s="123">
        <f>(C$68*L68)-C11</f>
        <v>6303</v>
      </c>
      <c r="R11">
        <f>D11*D68+0.05</f>
        <v>309.4496894576217</v>
      </c>
      <c r="S11">
        <f t="shared" si="5"/>
        <v>46</v>
      </c>
      <c r="T11">
        <f t="shared" si="6"/>
        <v>2116</v>
      </c>
      <c r="U11">
        <f t="shared" si="7"/>
        <v>6.8379451396727955</v>
      </c>
    </row>
    <row r="12" spans="2:21" ht="18" customHeight="1" thickBot="1">
      <c r="B12" s="115" t="str">
        <f>'Data Entry'!A12</f>
        <v>7. Cases Resulting in Delinquent Findings</v>
      </c>
      <c r="C12" s="159">
        <f>'Data Entry'!K12</f>
        <v>3316</v>
      </c>
      <c r="D12" s="68">
        <f>IF(((AND(C69&gt;0,C12&gt;0))),(C12/(C69)),0)</f>
        <v>26.798125101018265</v>
      </c>
      <c r="E12" s="159">
        <f>'Data Entry'!F12</f>
        <v>73</v>
      </c>
      <c r="F12" s="68">
        <f>IF(((AND($D$69&gt;0,$E$12&gt;0))),(E12/(D69)),0)</f>
        <v>27.75665399239544</v>
      </c>
      <c r="G12" s="138">
        <f t="shared" si="0"/>
        <v>1.0357685057355281</v>
      </c>
      <c r="H12" s="55"/>
      <c r="I12" s="64"/>
      <c r="J12" s="23">
        <f>IF((ABS($U12)&gt;Defaults!D$7),1,2)</f>
        <v>2</v>
      </c>
      <c r="K12" s="15">
        <f>IF((AND(N12&gt;Defaults!B$12,(N12+O12)&gt;Defaults!B$13,P12&gt;Defaults!B$12,(P12+Q12)&gt;Defaults!B$13)),1,20)</f>
        <v>1</v>
      </c>
      <c r="L12">
        <f t="shared" si="1"/>
        <v>2</v>
      </c>
      <c r="M12" t="b">
        <f t="shared" si="2"/>
        <v>1</v>
      </c>
      <c r="N12" s="123">
        <f t="shared" si="3"/>
        <v>73</v>
      </c>
      <c r="O12" s="123">
        <f>(D69*L69)-E12</f>
        <v>190</v>
      </c>
      <c r="P12" s="123">
        <f t="shared" si="4"/>
        <v>3316</v>
      </c>
      <c r="Q12" s="123">
        <f>(C69*L69)-C12</f>
        <v>9058</v>
      </c>
      <c r="R12">
        <f>D12*D69+0.05</f>
        <v>70.52906901567803</v>
      </c>
      <c r="S12">
        <f t="shared" si="5"/>
        <v>-2</v>
      </c>
      <c r="T12">
        <f t="shared" si="6"/>
        <v>4</v>
      </c>
      <c r="U12">
        <f t="shared" si="7"/>
        <v>0.05671420388536297</v>
      </c>
    </row>
    <row r="13" spans="2:21" ht="18" customHeight="1" thickBot="1">
      <c r="B13" s="115" t="str">
        <f>'Data Entry'!A13</f>
        <v>8. Cases resulting in Probation Placement</v>
      </c>
      <c r="C13" s="159">
        <f>'Data Entry'!K13</f>
        <v>2032</v>
      </c>
      <c r="D13" s="68">
        <f>IF(((AND(C70&gt;0,C13&gt;0))),(C13/(C70)),0)</f>
        <v>61.27864897466828</v>
      </c>
      <c r="E13" s="159">
        <f>'Data Entry'!F13</f>
        <v>58</v>
      </c>
      <c r="F13" s="68">
        <f>IF(((AND($D$70&gt;0,$E$13&gt;0))),($E$13/($D$70)),0)</f>
        <v>79.45205479452055</v>
      </c>
      <c r="G13" s="138">
        <f t="shared" si="0"/>
        <v>1.2965699493042822</v>
      </c>
      <c r="H13" s="55"/>
      <c r="I13" s="64"/>
      <c r="J13" s="23">
        <f>IF((ABS($U13)&gt;Defaults!D$7),1,2)</f>
        <v>2</v>
      </c>
      <c r="K13" s="15">
        <f>IF((AND(N13&gt;Defaults!B$12,(N13+O13)&gt;Defaults!B$13,P13&gt;Defaults!B$12,(P13+Q13)&gt;Defaults!B$13)),1,20)</f>
        <v>1</v>
      </c>
      <c r="L13">
        <f t="shared" si="1"/>
        <v>2</v>
      </c>
      <c r="M13" t="b">
        <f t="shared" si="2"/>
        <v>1</v>
      </c>
      <c r="N13" s="123">
        <f t="shared" si="3"/>
        <v>58</v>
      </c>
      <c r="O13" s="123">
        <f>(D70*L70)-E13</f>
        <v>15</v>
      </c>
      <c r="P13" s="123">
        <f t="shared" si="4"/>
        <v>2032</v>
      </c>
      <c r="Q13" s="123">
        <f>(C70*L70)-C13</f>
        <v>1283.9999999999995</v>
      </c>
      <c r="R13">
        <f>D13*D70+0.05</f>
        <v>44.78341375150784</v>
      </c>
      <c r="S13">
        <f t="shared" si="5"/>
        <v>-13</v>
      </c>
      <c r="T13">
        <f t="shared" si="6"/>
        <v>169</v>
      </c>
      <c r="U13">
        <f t="shared" si="7"/>
        <v>3.773718567721065</v>
      </c>
    </row>
    <row r="14" spans="2:21" ht="30.75" thickBot="1">
      <c r="B14" s="115" t="str">
        <f>'Data Entry'!A14</f>
        <v>9. Cases Resulting in Confinement in Secure    Juvenile Correctional Facilities </v>
      </c>
      <c r="C14" s="159">
        <f>'Data Entry'!K14</f>
        <v>121</v>
      </c>
      <c r="D14" s="68">
        <f>IF(((AND(C70&gt;0,C14&gt;0))),((C14/(C70))),0)</f>
        <v>3.6489746682750304</v>
      </c>
      <c r="E14" s="159">
        <f>'Data Entry'!F14</f>
        <v>1</v>
      </c>
      <c r="F14" s="68">
        <f>IF(((AND($D$70&gt;0,$E$14&gt;0))),(($E$14/($D$70))),0)</f>
        <v>1.36986301369863</v>
      </c>
      <c r="G14" s="138" t="str">
        <f t="shared" si="0"/>
        <v>**</v>
      </c>
      <c r="H14" s="55"/>
      <c r="I14" s="64"/>
      <c r="J14" s="23">
        <f>IF((ABS($U14)&gt;Defaults!D$7),1,2)</f>
        <v>2</v>
      </c>
      <c r="K14" s="15">
        <f>IF((AND(N14&gt;Defaults!B$12,(N14+O14)&gt;Defaults!B$13,P14&gt;Defaults!B$12,(P14+Q14)&gt;Defaults!B$13)),1,20)</f>
        <v>20</v>
      </c>
      <c r="L14">
        <f t="shared" si="1"/>
        <v>40</v>
      </c>
      <c r="M14" t="b">
        <f t="shared" si="2"/>
        <v>1</v>
      </c>
      <c r="N14" s="123">
        <f t="shared" si="3"/>
        <v>1</v>
      </c>
      <c r="O14" s="123">
        <f>(D70*L70)-E14</f>
        <v>72</v>
      </c>
      <c r="P14" s="123">
        <f t="shared" si="4"/>
        <v>121</v>
      </c>
      <c r="Q14" s="123">
        <f>(C70*L70)-C14</f>
        <v>3194.9999999999995</v>
      </c>
      <c r="R14">
        <f>D14*D70+0.05</f>
        <v>2.713751507840772</v>
      </c>
      <c r="S14">
        <f t="shared" si="5"/>
        <v>2</v>
      </c>
      <c r="T14">
        <f t="shared" si="6"/>
        <v>4</v>
      </c>
      <c r="U14">
        <f t="shared" si="7"/>
        <v>1.4739743076854692</v>
      </c>
    </row>
    <row r="15" spans="2:21" ht="15.75" thickBot="1">
      <c r="B15" s="115" t="str">
        <f>'Data Entry'!A15</f>
        <v>10. Cases Transferred to Adult Court </v>
      </c>
      <c r="C15" s="159">
        <f>'Data Entry'!K15</f>
        <v>0</v>
      </c>
      <c r="D15" s="68">
        <f>IF(((AND(C69&gt;0,C15&gt;0))),((C15/(C69))),0)</f>
        <v>0</v>
      </c>
      <c r="E15" s="159">
        <f>'Data Entry'!F15</f>
        <v>0</v>
      </c>
      <c r="F15" s="68">
        <f>IF(((AND($D$69&gt;0,$E$15&gt;0))),(($E$15/($D$69))),0)</f>
        <v>0</v>
      </c>
      <c r="G15" s="138" t="str">
        <f t="shared" si="0"/>
        <v>**</v>
      </c>
      <c r="H15" s="55"/>
      <c r="I15" s="64"/>
      <c r="J15" s="23">
        <f>IF((ABS($U15)&gt;Defaults!D$7),1,2)</f>
        <v>2</v>
      </c>
      <c r="K15" s="15">
        <f>IF((AND(N15&gt;Defaults!B$12,(N15+O15)&gt;Defaults!B$13,P15&gt;Defaults!B$12,(P15+Q15)&gt;Defaults!B$13)),1,20)</f>
        <v>20</v>
      </c>
      <c r="L15">
        <f t="shared" si="1"/>
        <v>40</v>
      </c>
      <c r="M15" t="b">
        <f t="shared" si="2"/>
        <v>1</v>
      </c>
      <c r="N15" s="123">
        <f t="shared" si="3"/>
        <v>0</v>
      </c>
      <c r="O15" s="123">
        <f>(D69*L69)-E15</f>
        <v>263</v>
      </c>
      <c r="P15" s="123">
        <f t="shared" si="4"/>
        <v>0</v>
      </c>
      <c r="Q15" s="123">
        <f>(C69*L69)-C15</f>
        <v>12374</v>
      </c>
      <c r="R15">
        <f>D15*D69+0.05</f>
        <v>0.05</v>
      </c>
      <c r="S15">
        <f t="shared" si="5"/>
        <v>0</v>
      </c>
      <c r="T15">
        <f t="shared" si="6"/>
        <v>0</v>
      </c>
      <c r="U15">
        <f t="shared" si="7"/>
        <v>0</v>
      </c>
    </row>
    <row r="16" spans="2:21" ht="12" customHeight="1">
      <c r="B16" s="103" t="s">
        <v>40</v>
      </c>
      <c r="C16" s="63"/>
      <c r="D16" s="63"/>
      <c r="E16" s="63"/>
      <c r="F16" s="63"/>
      <c r="G16" s="63"/>
      <c r="H16" s="63"/>
      <c r="I16" s="63"/>
      <c r="N16" s="162"/>
      <c r="O16" s="162"/>
      <c r="P16" s="162"/>
      <c r="Q16" s="162"/>
      <c r="S16"/>
      <c r="T16"/>
      <c r="U16"/>
    </row>
    <row r="17" spans="2:21" ht="26.25" customHeight="1">
      <c r="B17" s="103"/>
      <c r="C17" s="63"/>
      <c r="D17" s="63"/>
      <c r="E17" s="63"/>
      <c r="F17" s="63"/>
      <c r="G17" s="63"/>
      <c r="H17" s="63"/>
      <c r="I17" s="63"/>
      <c r="N17" s="162"/>
      <c r="O17" s="162"/>
      <c r="P17" s="162"/>
      <c r="Q17" s="162"/>
      <c r="S17"/>
      <c r="T17"/>
      <c r="U17"/>
    </row>
    <row r="18" spans="2:21" ht="15">
      <c r="B18" t="s">
        <v>113</v>
      </c>
      <c r="N18" s="49"/>
      <c r="O18" s="49"/>
      <c r="P18" s="49"/>
      <c r="Q18" s="49"/>
      <c r="S18"/>
      <c r="T18"/>
      <c r="U18"/>
    </row>
    <row r="19" spans="2:21" ht="15">
      <c r="B19" t="s">
        <v>151</v>
      </c>
      <c r="D19" s="61" t="s">
        <v>118</v>
      </c>
      <c r="N19" s="49"/>
      <c r="O19" s="49"/>
      <c r="P19" s="49"/>
      <c r="Q19" s="49"/>
      <c r="S19"/>
      <c r="T19"/>
      <c r="U19"/>
    </row>
    <row r="20" spans="2:21" ht="15">
      <c r="B20" t="s">
        <v>34</v>
      </c>
      <c r="D20" t="s">
        <v>57</v>
      </c>
      <c r="N20" s="49"/>
      <c r="O20" s="49"/>
      <c r="P20" s="49"/>
      <c r="Q20" s="49"/>
      <c r="S20"/>
      <c r="T20"/>
      <c r="U20"/>
    </row>
    <row r="21" spans="2:21" ht="15">
      <c r="B21" t="s">
        <v>199</v>
      </c>
      <c r="D21" t="s">
        <v>195</v>
      </c>
      <c r="N21" s="49"/>
      <c r="O21" s="49"/>
      <c r="P21" s="49"/>
      <c r="Q21" s="49"/>
      <c r="S21"/>
      <c r="T21"/>
      <c r="U21"/>
    </row>
    <row r="22" spans="2:21" ht="15">
      <c r="B22" t="s">
        <v>103</v>
      </c>
      <c r="D22" t="s">
        <v>214</v>
      </c>
      <c r="N22" s="49"/>
      <c r="O22" s="49"/>
      <c r="P22" s="49"/>
      <c r="Q22" s="49"/>
      <c r="S22"/>
      <c r="T22"/>
      <c r="U22"/>
    </row>
    <row r="23" spans="2:21" ht="15">
      <c r="B23" t="s">
        <v>129</v>
      </c>
      <c r="D23" s="163" t="s">
        <v>180</v>
      </c>
      <c r="K23" t="s">
        <v>70</v>
      </c>
      <c r="N23" s="49"/>
      <c r="O23" s="49"/>
      <c r="P23" s="49"/>
      <c r="Q23" s="49"/>
      <c r="S23"/>
      <c r="T23"/>
      <c r="U23"/>
    </row>
    <row r="24" spans="2:21" ht="26.25" customHeight="1">
      <c r="B24" s="103"/>
      <c r="C24" s="63"/>
      <c r="D24" s="63"/>
      <c r="E24" s="63"/>
      <c r="F24" s="63"/>
      <c r="G24" s="63"/>
      <c r="H24" s="63"/>
      <c r="I24" s="63"/>
      <c r="N24" s="162"/>
      <c r="O24" s="162"/>
      <c r="P24" s="162"/>
      <c r="Q24" s="162"/>
      <c r="S24"/>
      <c r="T24"/>
      <c r="U24"/>
    </row>
    <row r="25" spans="2:21" ht="15">
      <c r="B25" s="117" t="s">
        <v>96</v>
      </c>
      <c r="K25" t="s">
        <v>198</v>
      </c>
      <c r="L25" t="s">
        <v>2</v>
      </c>
      <c r="N25" s="162"/>
      <c r="O25" s="162" t="b">
        <f>ISBLANK(N12)</f>
        <v>0</v>
      </c>
      <c r="P25" s="162"/>
      <c r="Q25" s="162"/>
      <c r="S25"/>
      <c r="T25"/>
      <c r="U25"/>
    </row>
    <row r="26" spans="2:21" ht="15" customHeight="1">
      <c r="B26" s="95" t="s">
        <v>78</v>
      </c>
      <c r="C26" s="142"/>
      <c r="D26" s="142"/>
      <c r="E26" s="142"/>
      <c r="F26" s="95" t="s">
        <v>207</v>
      </c>
      <c r="G26" s="95"/>
      <c r="H26" s="95"/>
      <c r="I26" s="95"/>
      <c r="J26" s="95"/>
      <c r="K26" s="157" t="s">
        <v>180</v>
      </c>
      <c r="L26" s="97" t="s">
        <v>217</v>
      </c>
      <c r="M26" s="97"/>
      <c r="N26" s="49"/>
      <c r="O26" s="49"/>
      <c r="P26" s="49"/>
      <c r="Q26" s="49"/>
      <c r="S26"/>
      <c r="T26"/>
      <c r="U26"/>
    </row>
    <row r="27" spans="2:21" ht="15" customHeight="1">
      <c r="B27" s="6" t="s">
        <v>9</v>
      </c>
      <c r="C27" s="6"/>
      <c r="D27" s="6"/>
      <c r="E27" s="6"/>
      <c r="F27" s="6" t="str">
        <f>B66</f>
        <v>per 1000 youth</v>
      </c>
      <c r="G27" s="6"/>
      <c r="H27" s="6"/>
      <c r="I27" s="6"/>
      <c r="J27" s="6">
        <f>F66</f>
        <v>0</v>
      </c>
      <c r="K27" s="6" t="s">
        <v>214</v>
      </c>
      <c r="L27" s="54" t="s">
        <v>161</v>
      </c>
      <c r="M27" s="142"/>
      <c r="N27" s="49"/>
      <c r="O27" s="49"/>
      <c r="P27" s="49"/>
      <c r="Q27" s="49"/>
      <c r="S27"/>
      <c r="T27"/>
      <c r="U27"/>
    </row>
    <row r="28" spans="2:21" ht="15" customHeight="1">
      <c r="B28" s="6" t="s">
        <v>94</v>
      </c>
      <c r="C28" s="6"/>
      <c r="D28" s="6"/>
      <c r="E28" s="6"/>
      <c r="F28" s="89" t="str">
        <f>B67</f>
        <v>per 1000 youth</v>
      </c>
      <c r="G28" s="89"/>
      <c r="H28" s="89"/>
      <c r="I28" s="89"/>
      <c r="J28" s="89"/>
      <c r="K28" s="89" t="s">
        <v>195</v>
      </c>
      <c r="L28" s="104" t="s">
        <v>26</v>
      </c>
      <c r="M28" s="142"/>
      <c r="N28" s="49"/>
      <c r="O28" s="49"/>
      <c r="P28" s="49"/>
      <c r="Q28" s="49"/>
      <c r="S28"/>
      <c r="T28"/>
      <c r="U28"/>
    </row>
    <row r="29" spans="2:21" ht="15" customHeight="1">
      <c r="B29" s="89" t="s">
        <v>158</v>
      </c>
      <c r="C29" s="89"/>
      <c r="D29" s="89"/>
      <c r="E29" s="89"/>
      <c r="F29" s="89" t="str">
        <f>B68</f>
        <v>per 100 referrals</v>
      </c>
      <c r="G29" s="89"/>
      <c r="H29" s="89"/>
      <c r="I29" s="89"/>
      <c r="J29" s="89"/>
      <c r="K29" s="89"/>
      <c r="L29" s="104"/>
      <c r="M29" s="142"/>
      <c r="N29" s="49"/>
      <c r="O29" s="49"/>
      <c r="P29" s="49"/>
      <c r="Q29" s="49"/>
      <c r="S29"/>
      <c r="T29"/>
      <c r="U29"/>
    </row>
    <row r="30" spans="2:21" ht="15" customHeight="1">
      <c r="B30" s="89" t="s">
        <v>48</v>
      </c>
      <c r="C30" s="89"/>
      <c r="D30" s="89"/>
      <c r="E30" s="89"/>
      <c r="F30" s="89" t="str">
        <f>B68</f>
        <v>per 100 referrals</v>
      </c>
      <c r="G30" s="89"/>
      <c r="H30" s="89"/>
      <c r="I30" s="89"/>
      <c r="J30" s="89"/>
      <c r="K30" s="89"/>
      <c r="L30" s="104"/>
      <c r="M30" s="142"/>
      <c r="N30" s="49" t="b">
        <f>ISNUMBER(J14)</f>
        <v>1</v>
      </c>
      <c r="O30" s="49"/>
      <c r="P30" s="49"/>
      <c r="Q30" s="49"/>
      <c r="S30"/>
      <c r="T30"/>
      <c r="U30"/>
    </row>
    <row r="31" spans="2:21" ht="15" customHeight="1">
      <c r="B31" s="89" t="s">
        <v>20</v>
      </c>
      <c r="C31" s="89"/>
      <c r="D31" s="89"/>
      <c r="E31" s="89"/>
      <c r="F31" s="89" t="str">
        <f>B68</f>
        <v>per 100 referrals</v>
      </c>
      <c r="G31" s="89"/>
      <c r="H31" s="89"/>
      <c r="I31" s="89"/>
      <c r="J31" s="89"/>
      <c r="K31" s="89"/>
      <c r="L31" s="104"/>
      <c r="M31" s="142"/>
      <c r="N31" s="49"/>
      <c r="O31" s="49"/>
      <c r="P31" s="49"/>
      <c r="Q31" s="49"/>
      <c r="S31"/>
      <c r="T31"/>
      <c r="U31"/>
    </row>
    <row r="32" spans="2:21" ht="15" customHeight="1">
      <c r="B32" s="89" t="s">
        <v>41</v>
      </c>
      <c r="C32" s="89"/>
      <c r="D32" s="89"/>
      <c r="E32" s="89"/>
      <c r="F32" s="89" t="str">
        <f>B69</f>
        <v>per 100 youth petitioned</v>
      </c>
      <c r="G32" s="89"/>
      <c r="H32" s="89"/>
      <c r="I32" s="89"/>
      <c r="J32" s="89"/>
      <c r="K32" s="89"/>
      <c r="L32" s="104"/>
      <c r="M32" s="142"/>
      <c r="N32" s="49"/>
      <c r="O32" s="49"/>
      <c r="P32" s="49"/>
      <c r="Q32" s="49"/>
      <c r="S32"/>
      <c r="T32"/>
      <c r="U32"/>
    </row>
    <row r="33" spans="2:21" ht="15" customHeight="1">
      <c r="B33" s="89" t="s">
        <v>111</v>
      </c>
      <c r="C33" s="89"/>
      <c r="D33" s="89"/>
      <c r="E33" s="89"/>
      <c r="F33" s="89" t="str">
        <f>B70</f>
        <v>per 100 youth found delinquent</v>
      </c>
      <c r="G33" s="89"/>
      <c r="H33" s="89"/>
      <c r="I33" s="89"/>
      <c r="J33" s="89"/>
      <c r="K33" s="89"/>
      <c r="L33" s="104"/>
      <c r="M33" s="142"/>
      <c r="N33" s="49"/>
      <c r="O33" s="49"/>
      <c r="P33" s="49"/>
      <c r="Q33" s="49"/>
      <c r="S33"/>
      <c r="T33"/>
      <c r="U33"/>
    </row>
    <row r="34" spans="2:21" ht="15" customHeight="1">
      <c r="B34" s="89" t="s">
        <v>64</v>
      </c>
      <c r="C34" s="89"/>
      <c r="D34" s="89"/>
      <c r="E34" s="89"/>
      <c r="F34" s="89" t="str">
        <f>B70</f>
        <v>per 100 youth found delinquent</v>
      </c>
      <c r="G34" s="89"/>
      <c r="H34" s="89"/>
      <c r="I34" s="89"/>
      <c r="J34" s="89"/>
      <c r="K34" s="89"/>
      <c r="L34" s="104"/>
      <c r="M34" s="142"/>
      <c r="N34" s="49"/>
      <c r="O34" s="49"/>
      <c r="P34" s="49"/>
      <c r="Q34" s="49"/>
      <c r="S34"/>
      <c r="T34"/>
      <c r="U34"/>
    </row>
    <row r="35" spans="2:21" ht="15" customHeight="1">
      <c r="B35" s="89" t="s">
        <v>74</v>
      </c>
      <c r="C35" s="89"/>
      <c r="D35" s="89"/>
      <c r="E35" s="89"/>
      <c r="F35" s="89" t="str">
        <f>B69</f>
        <v>per 100 youth petitioned</v>
      </c>
      <c r="G35" s="89"/>
      <c r="H35" s="89"/>
      <c r="I35" s="89"/>
      <c r="J35" s="89"/>
      <c r="K35" s="89"/>
      <c r="L35" s="104"/>
      <c r="M35" s="142"/>
      <c r="N35" s="49"/>
      <c r="O35" s="49"/>
      <c r="P35" s="49"/>
      <c r="Q35" s="49"/>
      <c r="S35"/>
      <c r="T35"/>
      <c r="U35"/>
    </row>
    <row r="36" spans="10:21" ht="15" customHeight="1">
      <c r="J36" s="142"/>
      <c r="K36" s="142"/>
      <c r="L36" s="142"/>
      <c r="M36" s="142"/>
      <c r="N36" s="49"/>
      <c r="O36" s="49"/>
      <c r="P36" s="49"/>
      <c r="Q36" s="49"/>
      <c r="S36"/>
      <c r="T36"/>
      <c r="U36"/>
    </row>
    <row r="37" spans="14:21" ht="13.5" customHeight="1" hidden="1">
      <c r="N37" s="49"/>
      <c r="O37" s="49"/>
      <c r="P37" s="49"/>
      <c r="Q37" s="49"/>
      <c r="S37"/>
      <c r="T37"/>
      <c r="U37"/>
    </row>
    <row r="38" spans="14:21" ht="13.5" customHeight="1" hidden="1">
      <c r="N38" s="49"/>
      <c r="O38" s="49"/>
      <c r="P38" s="49"/>
      <c r="Q38" s="49"/>
      <c r="S38"/>
      <c r="T38"/>
      <c r="U38"/>
    </row>
    <row r="39" spans="14:21" ht="13.5" customHeight="1" hidden="1">
      <c r="N39" s="49"/>
      <c r="O39" s="49"/>
      <c r="P39" s="49"/>
      <c r="Q39" s="49"/>
      <c r="S39"/>
      <c r="T39"/>
      <c r="U39"/>
    </row>
    <row r="40" spans="2:21" ht="30.75" customHeight="1" hidden="1">
      <c r="B40" s="50" t="s">
        <v>65</v>
      </c>
      <c r="C40" s="160"/>
      <c r="D40" s="160"/>
      <c r="E40" s="160"/>
      <c r="F40" s="160"/>
      <c r="G40" s="160"/>
      <c r="H40" s="160"/>
      <c r="I40" s="160"/>
      <c r="J40" s="160"/>
      <c r="K40" s="160"/>
      <c r="N40" s="49"/>
      <c r="O40" s="49"/>
      <c r="P40" s="49"/>
      <c r="Q40" s="49"/>
      <c r="S40"/>
      <c r="T40"/>
      <c r="U40"/>
    </row>
    <row r="41" spans="2:21" ht="13.5" customHeight="1" hidden="1">
      <c r="B41" s="124" t="s">
        <v>52</v>
      </c>
      <c r="C41" s="83" t="s">
        <v>206</v>
      </c>
      <c r="D41" s="148" t="s">
        <v>15</v>
      </c>
      <c r="E41" s="83" t="s">
        <v>99</v>
      </c>
      <c r="G41" s="83" t="s">
        <v>117</v>
      </c>
      <c r="H41" s="83"/>
      <c r="I41" s="83"/>
      <c r="L41" t="s">
        <v>230</v>
      </c>
      <c r="N41" s="49"/>
      <c r="O41" s="49"/>
      <c r="P41" s="49"/>
      <c r="Q41" s="49"/>
      <c r="S41"/>
      <c r="T41"/>
      <c r="U41"/>
    </row>
    <row r="42" spans="2:21" ht="13.5" customHeight="1" hidden="1">
      <c r="B42" s="5" t="s">
        <v>170</v>
      </c>
      <c r="C42" s="60">
        <f>C6/1000</f>
        <v>482.993</v>
      </c>
      <c r="D42" s="60">
        <f>E6/1000</f>
        <v>46.123</v>
      </c>
      <c r="E42" s="60">
        <f>MAX(C42:D42)</f>
        <v>482.993</v>
      </c>
      <c r="G42" t="str">
        <f>B42</f>
        <v>per 1000 youth</v>
      </c>
      <c r="L42" s="134">
        <v>1000</v>
      </c>
      <c r="M42" s="134"/>
      <c r="N42" s="49"/>
      <c r="O42" s="49"/>
      <c r="P42" s="49"/>
      <c r="Q42" s="49"/>
      <c r="S42"/>
      <c r="T42"/>
      <c r="U42"/>
    </row>
    <row r="43" spans="2:21" ht="13.5" customHeight="1" hidden="1">
      <c r="B43" s="5" t="s">
        <v>167</v>
      </c>
      <c r="C43" s="60">
        <f>C7/100</f>
        <v>0</v>
      </c>
      <c r="D43" s="60">
        <f>E7/100</f>
        <v>0</v>
      </c>
      <c r="E43" s="60">
        <f>MAX(C43:D43,0)</f>
        <v>0</v>
      </c>
      <c r="G43" t="str">
        <f>B43</f>
        <v>per 100 arrests</v>
      </c>
      <c r="L43" s="134">
        <v>100</v>
      </c>
      <c r="M43" s="134"/>
      <c r="N43" s="49"/>
      <c r="O43" s="49"/>
      <c r="P43" s="49"/>
      <c r="Q43" s="49"/>
      <c r="S43"/>
      <c r="T43"/>
      <c r="U43"/>
    </row>
    <row r="44" spans="2:21" ht="13.5" customHeight="1" hidden="1">
      <c r="B44" s="5" t="s">
        <v>95</v>
      </c>
      <c r="C44" s="60">
        <f>C8/100</f>
        <v>186.77</v>
      </c>
      <c r="D44" s="60">
        <f>E8/100</f>
        <v>4.67</v>
      </c>
      <c r="E44" s="60">
        <f>MAX(C44:D44,0)</f>
        <v>186.77</v>
      </c>
      <c r="G44" t="str">
        <f>B44</f>
        <v>per 100 referrals</v>
      </c>
      <c r="L44" s="134">
        <v>100</v>
      </c>
      <c r="M44" s="134"/>
      <c r="N44" s="49"/>
      <c r="O44" s="49"/>
      <c r="P44" s="49"/>
      <c r="Q44" s="49"/>
      <c r="S44"/>
      <c r="T44"/>
      <c r="U44"/>
    </row>
    <row r="45" spans="2:21" ht="13.5" customHeight="1" hidden="1">
      <c r="B45" s="88" t="s">
        <v>84</v>
      </c>
      <c r="C45" s="128">
        <f>C11/100</f>
        <v>123.74</v>
      </c>
      <c r="D45" s="128">
        <f>E11/100</f>
        <v>2.63</v>
      </c>
      <c r="E45" s="60">
        <f>MAX(C45:D45,0)</f>
        <v>123.74</v>
      </c>
      <c r="G45" t="str">
        <f>B45</f>
        <v>per 100 youth petitioned</v>
      </c>
      <c r="L45" s="134">
        <v>100</v>
      </c>
      <c r="M45" s="134"/>
      <c r="N45" s="49"/>
      <c r="O45" s="49"/>
      <c r="P45" s="49"/>
      <c r="Q45" s="49"/>
      <c r="S45"/>
      <c r="T45"/>
      <c r="U45"/>
    </row>
    <row r="46" spans="2:21" ht="13.5" customHeight="1" hidden="1">
      <c r="B46" s="88" t="s">
        <v>187</v>
      </c>
      <c r="C46" s="128">
        <f>C12/100</f>
        <v>33.16</v>
      </c>
      <c r="D46" s="128">
        <f>E12/100</f>
        <v>0.73</v>
      </c>
      <c r="E46" s="60">
        <f>MAX(C46:D46)</f>
        <v>33.16</v>
      </c>
      <c r="G46" t="str">
        <f>B46</f>
        <v>per 100 youth found delinquent</v>
      </c>
      <c r="L46" s="134">
        <v>100</v>
      </c>
      <c r="M46" s="134"/>
      <c r="N46" s="49"/>
      <c r="O46" s="49"/>
      <c r="P46" s="49"/>
      <c r="Q46" s="49"/>
      <c r="S46"/>
      <c r="T46"/>
      <c r="U46"/>
    </row>
    <row r="47" spans="2:21" ht="13.5" customHeight="1" hidden="1">
      <c r="B47" s="160"/>
      <c r="C47" s="160"/>
      <c r="D47" s="160"/>
      <c r="E47" s="160"/>
      <c r="L47" s="134"/>
      <c r="M47" s="134"/>
      <c r="N47" s="49"/>
      <c r="O47" s="49"/>
      <c r="P47" s="49"/>
      <c r="Q47" s="49"/>
      <c r="S47"/>
      <c r="T47"/>
      <c r="U47"/>
    </row>
    <row r="48" spans="2:21" ht="13.5" customHeight="1" hidden="1">
      <c r="B48" s="128" t="str">
        <f>B42</f>
        <v>per 1000 youth</v>
      </c>
      <c r="C48" s="60">
        <f>C42</f>
        <v>482.993</v>
      </c>
      <c r="D48" s="60">
        <f>D42</f>
        <v>46.123</v>
      </c>
      <c r="E48" s="60">
        <f>MAX(C48:D48)</f>
        <v>482.993</v>
      </c>
      <c r="G48" t="str">
        <f>G42</f>
        <v>per 1000 youth</v>
      </c>
      <c r="L48" s="2">
        <f>L42</f>
        <v>1000</v>
      </c>
      <c r="M48" s="2"/>
      <c r="N48" s="162"/>
      <c r="O48" s="162"/>
      <c r="P48" s="162"/>
      <c r="Q48" s="162"/>
      <c r="S48"/>
      <c r="T48"/>
      <c r="U48"/>
    </row>
    <row r="49" spans="2:21" ht="13.5" customHeight="1" hidden="1">
      <c r="B49" s="5" t="str">
        <f aca="true" t="shared" si="8" ref="B49:D50">IF(($E43&gt;0),B43,B42)</f>
        <v>per 1000 youth</v>
      </c>
      <c r="C49" s="5">
        <f t="shared" si="8"/>
        <v>482.993</v>
      </c>
      <c r="D49" s="5">
        <f t="shared" si="8"/>
        <v>46.123</v>
      </c>
      <c r="E49" s="128">
        <f>MAX(C49:D49)</f>
        <v>482.993</v>
      </c>
      <c r="G49" t="str">
        <f>G43</f>
        <v>per 100 arrests</v>
      </c>
      <c r="L49" s="39">
        <f>IF(($E43&gt;0),L43,L42)</f>
        <v>1000</v>
      </c>
      <c r="M49" s="39"/>
      <c r="N49" s="162"/>
      <c r="O49" s="162"/>
      <c r="P49" s="162"/>
      <c r="Q49" s="162"/>
      <c r="S49"/>
      <c r="T49"/>
      <c r="U49"/>
    </row>
    <row r="50" spans="2:21" ht="13.5" customHeight="1" hidden="1">
      <c r="B50" s="5" t="str">
        <f t="shared" si="8"/>
        <v>per 100 referrals</v>
      </c>
      <c r="C50" s="5">
        <f t="shared" si="8"/>
        <v>186.77</v>
      </c>
      <c r="D50" s="5">
        <f t="shared" si="8"/>
        <v>4.67</v>
      </c>
      <c r="E50" s="128">
        <f>MAX(C50:D50)</f>
        <v>186.77</v>
      </c>
      <c r="G50" t="str">
        <f>G44</f>
        <v>per 100 referrals</v>
      </c>
      <c r="L50" s="39">
        <f>IF(($E44&gt;0),L44,L43)</f>
        <v>100</v>
      </c>
      <c r="M50" s="39"/>
      <c r="N50" s="162"/>
      <c r="O50" s="162"/>
      <c r="P50" s="162"/>
      <c r="Q50" s="162"/>
      <c r="S50"/>
      <c r="T50"/>
      <c r="U50"/>
    </row>
    <row r="51" spans="2:21" ht="13.5" customHeight="1" hidden="1">
      <c r="B51" s="5" t="str">
        <f>IF(($E45&gt;0),B45,B43)</f>
        <v>per 100 youth petitioned</v>
      </c>
      <c r="C51" s="5">
        <f>IF(($E45&gt;0),C45,C44)</f>
        <v>123.74</v>
      </c>
      <c r="D51" s="5">
        <f>IF(($E45&gt;0),D45,D44)</f>
        <v>2.63</v>
      </c>
      <c r="E51" s="128">
        <f>MAX(C51:D51)</f>
        <v>123.74</v>
      </c>
      <c r="G51" t="str">
        <f>G45</f>
        <v>per 100 youth petitioned</v>
      </c>
      <c r="L51" s="39">
        <f>IF(($E45&gt;0),L45,L44)</f>
        <v>100</v>
      </c>
      <c r="M51" s="39"/>
      <c r="N51" s="49"/>
      <c r="O51" s="49"/>
      <c r="P51" s="49"/>
      <c r="Q51" s="49"/>
      <c r="S51"/>
      <c r="T51"/>
      <c r="U51"/>
    </row>
    <row r="52" spans="2:21" ht="13.5" customHeight="1" hidden="1">
      <c r="B52" s="128" t="str">
        <f>IF(($E46&gt;0),B46,B45)</f>
        <v>per 100 youth found delinquent</v>
      </c>
      <c r="C52" s="128">
        <f>IF(($E46&gt;0),C46,C45)</f>
        <v>33.16</v>
      </c>
      <c r="D52" s="128">
        <f>IF(($E46&gt;0),D46,D45)</f>
        <v>0.73</v>
      </c>
      <c r="E52" s="60">
        <f>MAX(C52:D52)</f>
        <v>33.16</v>
      </c>
      <c r="G52" t="str">
        <f>G46</f>
        <v>per 100 youth found delinquent</v>
      </c>
      <c r="L52" s="39">
        <f>IF(($E46&gt;0),L46,L45)</f>
        <v>100</v>
      </c>
      <c r="M52" s="39"/>
      <c r="N52" s="49"/>
      <c r="O52" s="49"/>
      <c r="P52" s="49"/>
      <c r="Q52" s="49"/>
      <c r="S52"/>
      <c r="T52"/>
      <c r="U52"/>
    </row>
    <row r="53" spans="2:21" ht="13.5" customHeight="1" hidden="1">
      <c r="B53" s="5"/>
      <c r="C53" s="128"/>
      <c r="D53" s="128"/>
      <c r="E53" s="128"/>
      <c r="L53" s="134"/>
      <c r="M53" s="134"/>
      <c r="N53" s="49"/>
      <c r="O53" s="49"/>
      <c r="P53" s="49"/>
      <c r="Q53" s="49"/>
      <c r="S53"/>
      <c r="T53"/>
      <c r="U53"/>
    </row>
    <row r="54" spans="2:21" ht="13.5" customHeight="1" hidden="1">
      <c r="B54" s="128" t="str">
        <f>B48</f>
        <v>per 1000 youth</v>
      </c>
      <c r="C54" s="60">
        <f>C48</f>
        <v>482.993</v>
      </c>
      <c r="D54" s="60">
        <f>D48</f>
        <v>46.123</v>
      </c>
      <c r="E54" s="60">
        <f>MAX(C54:D54)</f>
        <v>482.993</v>
      </c>
      <c r="G54" t="str">
        <f>G48</f>
        <v>per 1000 youth</v>
      </c>
      <c r="L54" s="2">
        <f>L48</f>
        <v>1000</v>
      </c>
      <c r="M54" s="2"/>
      <c r="N54" s="49"/>
      <c r="O54" s="49"/>
      <c r="P54" s="49"/>
      <c r="Q54" s="49"/>
      <c r="S54"/>
      <c r="T54"/>
      <c r="U54"/>
    </row>
    <row r="55" spans="2:21" ht="13.5" customHeight="1" hidden="1">
      <c r="B55" s="5" t="str">
        <f aca="true" t="shared" si="9" ref="B55:D56">IF(($E49&gt;0),B49,B48)</f>
        <v>per 1000 youth</v>
      </c>
      <c r="C55" s="5">
        <f t="shared" si="9"/>
        <v>482.993</v>
      </c>
      <c r="D55" s="5">
        <f t="shared" si="9"/>
        <v>46.123</v>
      </c>
      <c r="E55" s="128">
        <f>MAX(C55:D55)</f>
        <v>482.993</v>
      </c>
      <c r="G55" t="str">
        <f>G49</f>
        <v>per 100 arrests</v>
      </c>
      <c r="L55" s="39">
        <f>IF(($E49&gt;0),L49,L48)</f>
        <v>1000</v>
      </c>
      <c r="M55" s="39"/>
      <c r="N55" s="49"/>
      <c r="O55" s="49"/>
      <c r="P55" s="49"/>
      <c r="Q55" s="49"/>
      <c r="S55"/>
      <c r="T55"/>
      <c r="U55"/>
    </row>
    <row r="56" spans="2:21" ht="13.5" customHeight="1" hidden="1">
      <c r="B56" s="5" t="str">
        <f t="shared" si="9"/>
        <v>per 100 referrals</v>
      </c>
      <c r="C56" s="5">
        <f t="shared" si="9"/>
        <v>186.77</v>
      </c>
      <c r="D56" s="5">
        <f t="shared" si="9"/>
        <v>4.67</v>
      </c>
      <c r="E56" s="128">
        <f>MAX(C56:D56)</f>
        <v>186.77</v>
      </c>
      <c r="G56" t="str">
        <f>G50</f>
        <v>per 100 referrals</v>
      </c>
      <c r="L56" s="39">
        <f>IF(($E50&gt;0),L50,L49)</f>
        <v>100</v>
      </c>
      <c r="M56" s="39"/>
      <c r="N56" s="49"/>
      <c r="O56" s="49"/>
      <c r="P56" s="49"/>
      <c r="Q56" s="49"/>
      <c r="S56"/>
      <c r="T56"/>
      <c r="U56"/>
    </row>
    <row r="57" spans="2:21" ht="13.5" customHeight="1" hidden="1">
      <c r="B57" s="5" t="str">
        <f>IF(($E51&gt;0),B51,B49)</f>
        <v>per 100 youth petitioned</v>
      </c>
      <c r="C57" s="5">
        <f>IF(($E51&gt;0),C51,C50)</f>
        <v>123.74</v>
      </c>
      <c r="D57" s="5">
        <f>IF(($E51&gt;0),D51,D50)</f>
        <v>2.63</v>
      </c>
      <c r="E57" s="128">
        <f>MAX(C57:D57)</f>
        <v>123.74</v>
      </c>
      <c r="G57" t="str">
        <f>G51</f>
        <v>per 100 youth petitioned</v>
      </c>
      <c r="L57" s="39">
        <f>IF(($E51&gt;0),L51,L50)</f>
        <v>100</v>
      </c>
      <c r="M57" s="39"/>
      <c r="N57" s="49"/>
      <c r="O57" s="49"/>
      <c r="P57" s="49"/>
      <c r="Q57" s="49"/>
      <c r="S57"/>
      <c r="T57"/>
      <c r="U57"/>
    </row>
    <row r="58" spans="2:21" ht="13.5" customHeight="1" hidden="1">
      <c r="B58" s="128" t="str">
        <f>IF(($E52&gt;0),B52,B51)</f>
        <v>per 100 youth found delinquent</v>
      </c>
      <c r="C58" s="128">
        <f>IF(($E52&gt;0),C52,C51)</f>
        <v>33.16</v>
      </c>
      <c r="D58" s="128">
        <f>IF(($E52&gt;0),D52,D51)</f>
        <v>0.73</v>
      </c>
      <c r="E58" s="60">
        <f>MAX(C58:D58)</f>
        <v>33.16</v>
      </c>
      <c r="G58" t="str">
        <f>G52</f>
        <v>per 100 youth found delinquent</v>
      </c>
      <c r="L58" s="2">
        <f>IF(($E52&gt;0),L52,L51)</f>
        <v>100</v>
      </c>
      <c r="M58" s="2"/>
      <c r="N58" s="49"/>
      <c r="O58" s="49"/>
      <c r="P58" s="49"/>
      <c r="Q58" s="49"/>
      <c r="S58"/>
      <c r="T58"/>
      <c r="U58"/>
    </row>
    <row r="59" spans="2:21" ht="13.5" customHeight="1" hidden="1">
      <c r="B59" s="128"/>
      <c r="C59" s="128"/>
      <c r="D59" s="128"/>
      <c r="E59" s="128"/>
      <c r="L59" s="134"/>
      <c r="M59" s="134"/>
      <c r="N59" s="49"/>
      <c r="O59" s="49"/>
      <c r="P59" s="49"/>
      <c r="Q59" s="49"/>
      <c r="S59"/>
      <c r="T59"/>
      <c r="U59"/>
    </row>
    <row r="60" spans="2:21" ht="13.5" customHeight="1" hidden="1">
      <c r="B60" s="128" t="str">
        <f>B54</f>
        <v>per 1000 youth</v>
      </c>
      <c r="C60" s="60">
        <f>C54</f>
        <v>482.993</v>
      </c>
      <c r="D60" s="60">
        <f>D54</f>
        <v>46.123</v>
      </c>
      <c r="E60" s="60">
        <f>MAX(C60:D60)</f>
        <v>482.993</v>
      </c>
      <c r="G60" t="str">
        <f>G54</f>
        <v>per 1000 youth</v>
      </c>
      <c r="L60" s="2">
        <f>L54</f>
        <v>1000</v>
      </c>
      <c r="M60" s="2"/>
      <c r="N60" s="49"/>
      <c r="O60" s="49"/>
      <c r="P60" s="49"/>
      <c r="Q60" s="49"/>
      <c r="S60"/>
      <c r="T60"/>
      <c r="U60"/>
    </row>
    <row r="61" spans="2:21" ht="13.5" customHeight="1" hidden="1">
      <c r="B61" s="5" t="str">
        <f aca="true" t="shared" si="10" ref="B61:D62">IF(($E55&gt;0),B55,B54)</f>
        <v>per 1000 youth</v>
      </c>
      <c r="C61" s="5">
        <f t="shared" si="10"/>
        <v>482.993</v>
      </c>
      <c r="D61" s="5">
        <f t="shared" si="10"/>
        <v>46.123</v>
      </c>
      <c r="E61" s="128">
        <f>MAX(C61:D61)</f>
        <v>482.993</v>
      </c>
      <c r="G61" t="str">
        <f>G55</f>
        <v>per 100 arrests</v>
      </c>
      <c r="L61" s="39">
        <f>IF(($E55&gt;0),L55,L54)</f>
        <v>1000</v>
      </c>
      <c r="M61" s="39"/>
      <c r="N61" s="49"/>
      <c r="O61" s="49"/>
      <c r="P61" s="49"/>
      <c r="Q61" s="49"/>
      <c r="S61"/>
      <c r="T61"/>
      <c r="U61"/>
    </row>
    <row r="62" spans="2:21" ht="13.5" customHeight="1" hidden="1">
      <c r="B62" s="5" t="str">
        <f t="shared" si="10"/>
        <v>per 100 referrals</v>
      </c>
      <c r="C62" s="5">
        <f t="shared" si="10"/>
        <v>186.77</v>
      </c>
      <c r="D62" s="5">
        <f t="shared" si="10"/>
        <v>4.67</v>
      </c>
      <c r="E62" s="128">
        <f>MAX(C62:D62)</f>
        <v>186.77</v>
      </c>
      <c r="G62" t="str">
        <f>G56</f>
        <v>per 100 referrals</v>
      </c>
      <c r="L62" s="39">
        <f>IF(($E56&gt;0),L56,L55)</f>
        <v>100</v>
      </c>
      <c r="M62" s="39"/>
      <c r="N62" s="49"/>
      <c r="O62" s="49"/>
      <c r="P62" s="49"/>
      <c r="Q62" s="49"/>
      <c r="S62"/>
      <c r="T62"/>
      <c r="U62"/>
    </row>
    <row r="63" spans="2:21" ht="13.5" customHeight="1" hidden="1">
      <c r="B63" s="5" t="str">
        <f>IF(($E57&gt;0),B57,B55)</f>
        <v>per 100 youth petitioned</v>
      </c>
      <c r="C63" s="5">
        <f>IF(($E57&gt;0),C57,C56)</f>
        <v>123.74</v>
      </c>
      <c r="D63" s="5">
        <f>IF(($E57&gt;0),D57,D56)</f>
        <v>2.63</v>
      </c>
      <c r="E63" s="128">
        <f>MAX(C63:D63)</f>
        <v>123.74</v>
      </c>
      <c r="G63" t="str">
        <f>G57</f>
        <v>per 100 youth petitioned</v>
      </c>
      <c r="L63" s="39">
        <f>IF(($E57&gt;0),L57,L56)</f>
        <v>100</v>
      </c>
      <c r="M63" s="39"/>
      <c r="N63" s="49"/>
      <c r="O63" s="49"/>
      <c r="P63" s="49"/>
      <c r="Q63" s="49"/>
      <c r="S63"/>
      <c r="T63"/>
      <c r="U63"/>
    </row>
    <row r="64" spans="2:21" ht="13.5" customHeight="1" hidden="1">
      <c r="B64" s="128" t="str">
        <f>IF(($E58&gt;0),B58,B57)</f>
        <v>per 100 youth found delinquent</v>
      </c>
      <c r="C64" s="128">
        <f>IF(($E58&gt;0),C58,C57)</f>
        <v>33.16</v>
      </c>
      <c r="D64" s="128">
        <f>IF(($E58&gt;0),D58,D57)</f>
        <v>0.73</v>
      </c>
      <c r="E64" s="60">
        <f>MAX(C64:D64)</f>
        <v>33.16</v>
      </c>
      <c r="G64" t="str">
        <f>G58</f>
        <v>per 100 youth found delinquent</v>
      </c>
      <c r="L64" s="2">
        <f>IF(($E58&gt;0),L58,L57)</f>
        <v>100</v>
      </c>
      <c r="M64" s="2"/>
      <c r="N64" s="49"/>
      <c r="O64" s="49"/>
      <c r="P64" s="49"/>
      <c r="Q64" s="49"/>
      <c r="S64"/>
      <c r="T64"/>
      <c r="U64"/>
    </row>
    <row r="65" spans="2:21" ht="13.5" customHeight="1" hidden="1">
      <c r="B65" s="171" t="s">
        <v>224</v>
      </c>
      <c r="L65" s="134"/>
      <c r="M65" s="134"/>
      <c r="N65" s="49"/>
      <c r="O65" s="49"/>
      <c r="P65" s="49"/>
      <c r="Q65" s="49"/>
      <c r="S65"/>
      <c r="T65"/>
      <c r="U65"/>
    </row>
    <row r="66" spans="2:21" ht="13.5" customHeight="1" hidden="1">
      <c r="B66" s="128" t="str">
        <f>B60</f>
        <v>per 1000 youth</v>
      </c>
      <c r="C66" s="60">
        <f>C60</f>
        <v>482.993</v>
      </c>
      <c r="D66" s="60">
        <f>D60</f>
        <v>46.123</v>
      </c>
      <c r="E66" s="60">
        <f>MAX(C66:D66)</f>
        <v>482.993</v>
      </c>
      <c r="G66" t="str">
        <f>G60</f>
        <v>per 1000 youth</v>
      </c>
      <c r="L66" s="2">
        <f>L60</f>
        <v>1000</v>
      </c>
      <c r="M66" s="2">
        <f>IF((B66=G66),1,2)</f>
        <v>1</v>
      </c>
      <c r="N66" s="49"/>
      <c r="O66" s="49"/>
      <c r="P66" s="49"/>
      <c r="Q66" s="49"/>
      <c r="S66"/>
      <c r="T66"/>
      <c r="U66"/>
    </row>
    <row r="67" spans="2:21" ht="13.5" customHeight="1" hidden="1">
      <c r="B67" s="5" t="str">
        <f aca="true" t="shared" si="11" ref="B67:D68">IF(($E61&gt;0),B61,B60)</f>
        <v>per 1000 youth</v>
      </c>
      <c r="C67" s="5">
        <f t="shared" si="11"/>
        <v>482.993</v>
      </c>
      <c r="D67" s="5">
        <f t="shared" si="11"/>
        <v>46.123</v>
      </c>
      <c r="E67" s="128">
        <f>MAX(C67:D67)</f>
        <v>482.993</v>
      </c>
      <c r="G67" t="str">
        <f>G61</f>
        <v>per 100 arrests</v>
      </c>
      <c r="L67" s="39">
        <f>IF(($E61&gt;0),L61,L60)</f>
        <v>1000</v>
      </c>
      <c r="M67" s="2">
        <f>IF((B67=G67),1,2)</f>
        <v>2</v>
      </c>
      <c r="N67" s="49"/>
      <c r="O67" s="49"/>
      <c r="P67" s="49"/>
      <c r="Q67" s="49"/>
      <c r="S67"/>
      <c r="T67"/>
      <c r="U67"/>
    </row>
    <row r="68" spans="2:21" ht="13.5" customHeight="1" hidden="1">
      <c r="B68" s="5" t="str">
        <f t="shared" si="11"/>
        <v>per 100 referrals</v>
      </c>
      <c r="C68" s="5">
        <f t="shared" si="11"/>
        <v>186.77</v>
      </c>
      <c r="D68" s="5">
        <f t="shared" si="11"/>
        <v>4.67</v>
      </c>
      <c r="E68" s="128">
        <f>MAX(C68:D68)</f>
        <v>186.77</v>
      </c>
      <c r="G68" t="str">
        <f>G62</f>
        <v>per 100 referrals</v>
      </c>
      <c r="L68" s="39">
        <f>IF(($E62&gt;0),L62,L61)</f>
        <v>100</v>
      </c>
      <c r="M68" s="2">
        <f>IF((B68=G68),1,2)</f>
        <v>1</v>
      </c>
      <c r="N68" s="49"/>
      <c r="O68" s="49"/>
      <c r="P68" s="49"/>
      <c r="Q68" s="49"/>
      <c r="S68"/>
      <c r="T68"/>
      <c r="U68"/>
    </row>
    <row r="69" spans="2:21" ht="13.5" customHeight="1" hidden="1">
      <c r="B69" s="5" t="str">
        <f>IF(($E63&gt;0),B63,B61)</f>
        <v>per 100 youth petitioned</v>
      </c>
      <c r="C69" s="5">
        <f>IF(($E63&gt;0),C63,C62)</f>
        <v>123.74</v>
      </c>
      <c r="D69" s="5">
        <f>IF(($E63&gt;0),D63,D62)</f>
        <v>2.63</v>
      </c>
      <c r="E69" s="128">
        <f>MAX(C69:D69)</f>
        <v>123.74</v>
      </c>
      <c r="G69" t="str">
        <f>G63</f>
        <v>per 100 youth petitioned</v>
      </c>
      <c r="L69" s="39">
        <f>IF(($E63&gt;0),L63,L62)</f>
        <v>100</v>
      </c>
      <c r="M69" s="2">
        <f>IF((B69=G69),1,2)</f>
        <v>1</v>
      </c>
      <c r="N69" s="49"/>
      <c r="O69" s="49"/>
      <c r="P69" s="49"/>
      <c r="Q69" s="49"/>
      <c r="S69"/>
      <c r="T69"/>
      <c r="U69"/>
    </row>
    <row r="70" spans="2:21" ht="13.5" customHeight="1" hidden="1">
      <c r="B70" s="128" t="str">
        <f>IF(($E64&gt;0),B64,B63)</f>
        <v>per 100 youth found delinquent</v>
      </c>
      <c r="C70" s="128">
        <f>IF(($E64&gt;0),C64,C63)</f>
        <v>33.16</v>
      </c>
      <c r="D70" s="128">
        <f>IF(($E64&gt;0),D64,D63)</f>
        <v>0.73</v>
      </c>
      <c r="E70" s="60">
        <f>MAX(C70:D70)</f>
        <v>33.16</v>
      </c>
      <c r="G70" t="str">
        <f>G64</f>
        <v>per 100 youth found delinquent</v>
      </c>
      <c r="L70" s="2">
        <f>IF(($E64&gt;0),L64,L63)</f>
        <v>100</v>
      </c>
      <c r="M70" s="2">
        <f>IF((B70=G70),1,2)</f>
        <v>1</v>
      </c>
      <c r="N70" s="49"/>
      <c r="O70" s="49"/>
      <c r="P70" s="49"/>
      <c r="Q70" s="49"/>
      <c r="S70"/>
      <c r="T70"/>
      <c r="U70"/>
    </row>
    <row r="71" spans="14:21" ht="13.5" customHeight="1" hidden="1">
      <c r="N71" s="49"/>
      <c r="O71" s="49"/>
      <c r="P71" s="49"/>
      <c r="Q71" s="49"/>
      <c r="S71"/>
      <c r="T71"/>
      <c r="U71"/>
    </row>
    <row r="72" spans="14:21" ht="13.5" customHeight="1" hidden="1">
      <c r="N72" s="49"/>
      <c r="O72" s="49"/>
      <c r="P72" s="49"/>
      <c r="Q72" s="49"/>
      <c r="S72"/>
      <c r="T72"/>
      <c r="U72"/>
    </row>
    <row r="73" spans="14:21" ht="13.5" customHeight="1" hidden="1">
      <c r="N73" s="49"/>
      <c r="O73" s="49"/>
      <c r="P73" s="49"/>
      <c r="Q73" s="49"/>
      <c r="S73"/>
      <c r="T73"/>
      <c r="U73"/>
    </row>
    <row r="74" spans="14:21" ht="13.5" customHeight="1" hidden="1">
      <c r="N74" s="49"/>
      <c r="O74" s="49"/>
      <c r="P74" s="49"/>
      <c r="Q74" s="49"/>
      <c r="S74"/>
      <c r="T74"/>
      <c r="U74"/>
    </row>
    <row r="75" ht="13.5" customHeight="1" hidden="1"/>
    <row r="76" ht="13.5" customHeight="1" hidden="1"/>
    <row r="77" ht="13.5" customHeight="1" hidden="1"/>
    <row r="78" ht="13.5" customHeight="1" hidden="1"/>
    <row r="79" ht="13.5" customHeight="1" hidden="1"/>
    <row r="80" ht="13.5" customHeight="1" hidden="1"/>
    <row r="81" ht="13.5" customHeight="1" hidden="1"/>
    <row r="82" ht="13.5" customHeight="1" hidden="1">
      <c r="B82" s="92"/>
    </row>
    <row r="83" ht="13.5" customHeight="1" hidden="1">
      <c r="B83" s="31"/>
    </row>
    <row r="84" ht="13.5" customHeight="1" hidden="1"/>
    <row r="85" ht="13.5" customHeight="1" hidden="1"/>
    <row r="86" ht="13.5" customHeight="1" hidden="1"/>
    <row r="87" ht="13.5" customHeight="1" hidden="1"/>
    <row r="88" ht="13.5" customHeight="1" hidden="1"/>
    <row r="89" ht="13.5" customHeight="1" hidden="1"/>
    <row r="90" ht="13.5" customHeight="1" hidden="1"/>
  </sheetData>
  <mergeCells count="5">
    <mergeCell ref="B40:J40"/>
    <mergeCell ref="C2:D2"/>
    <mergeCell ref="C3:D3"/>
    <mergeCell ref="R1:U4"/>
    <mergeCell ref="N2:Q4"/>
  </mergeCells>
  <conditionalFormatting sqref="G7:G15">
    <cfRule type="expression" priority="1" dxfId="0" stopIfTrue="1">
      <formula>$L7=1</formula>
    </cfRule>
    <cfRule type="expression" priority="2" dxfId="1" stopIfTrue="1">
      <formula>$L7=2</formula>
    </cfRule>
    <cfRule type="expression" priority="3" dxfId="2" stopIfTrue="1">
      <formula>$L7&gt;3</formula>
    </cfRule>
  </conditionalFormatting>
  <conditionalFormatting sqref="B86">
    <cfRule type="expression" priority="4" dxfId="0" stopIfTrue="1">
      <formula>$D$83=2</formula>
    </cfRule>
  </conditionalFormatting>
  <conditionalFormatting sqref="F28">
    <cfRule type="expression" priority="5" dxfId="0" stopIfTrue="1">
      <formula>M67=2</formula>
    </cfRule>
  </conditionalFormatting>
  <conditionalFormatting sqref="F27">
    <cfRule type="expression" priority="6" dxfId="3" stopIfTrue="1">
      <formula>M66=2</formula>
    </cfRule>
  </conditionalFormatting>
  <conditionalFormatting sqref="F29">
    <cfRule type="expression" priority="7" dxfId="0" stopIfTrue="1">
      <formula>M68=2</formula>
    </cfRule>
  </conditionalFormatting>
  <conditionalFormatting sqref="F30">
    <cfRule type="expression" priority="8" dxfId="0" stopIfTrue="1">
      <formula>M68=2</formula>
    </cfRule>
  </conditionalFormatting>
  <conditionalFormatting sqref="F31">
    <cfRule type="expression" priority="9" dxfId="0" stopIfTrue="1">
      <formula>M68=2</formula>
    </cfRule>
  </conditionalFormatting>
  <conditionalFormatting sqref="F32:F33">
    <cfRule type="expression" priority="10" dxfId="0" stopIfTrue="1">
      <formula>M69=2</formula>
    </cfRule>
  </conditionalFormatting>
  <conditionalFormatting sqref="F34">
    <cfRule type="expression" priority="11" dxfId="0" stopIfTrue="1">
      <formula>M70=2</formula>
    </cfRule>
  </conditionalFormatting>
  <conditionalFormatting sqref="F35">
    <cfRule type="expression" priority="12" dxfId="0" stopIfTrue="1">
      <formula>M69=2</formula>
    </cfRule>
  </conditionalFormatting>
  <printOptions/>
  <pageMargins left="0.53" right="0.42" top="0.75" bottom="0.5" header="0" footer="0"/>
  <pageSetup horizontalDpi="300" verticalDpi="300" orientation="portrait"/>
</worksheet>
</file>

<file path=xl/worksheets/sheet6.xml><?xml version="1.0" encoding="utf-8"?>
<worksheet xmlns="http://schemas.openxmlformats.org/spreadsheetml/2006/main" xmlns:r="http://schemas.openxmlformats.org/officeDocument/2006/relationships">
  <dimension ref="B1:W83"/>
  <sheetViews>
    <sheetView showGridLines="0" showRowColHeaders="0" zoomScale="95" zoomScaleNormal="95" workbookViewId="0" topLeftCell="A1">
      <selection activeCell="A1" sqref="A1"/>
    </sheetView>
  </sheetViews>
  <sheetFormatPr defaultColWidth="9.140625" defaultRowHeight="15"/>
  <cols>
    <col min="1" max="1" width="2.57421875" style="0" customWidth="1"/>
    <col min="2" max="2" width="45.7109375" style="0" customWidth="1"/>
    <col min="3" max="3" width="10.57421875" style="0" hidden="1" customWidth="1"/>
    <col min="4" max="4" width="15.7109375" style="0" customWidth="1"/>
    <col min="5" max="5" width="15.7109375" style="0" hidden="1" customWidth="1"/>
    <col min="6" max="6" width="16.421875" style="0" customWidth="1"/>
    <col min="7" max="7" width="15.7109375" style="0" customWidth="1"/>
    <col min="8" max="8" width="8.00390625" style="0" hidden="1" customWidth="1"/>
    <col min="9" max="9" width="7.8515625" style="0" hidden="1" customWidth="1"/>
    <col min="10" max="10" width="8.00390625" style="0" hidden="1" customWidth="1"/>
    <col min="11" max="11" width="8.8515625" style="0" hidden="1" customWidth="1"/>
    <col min="12" max="13" width="9.140625" style="0" hidden="1" customWidth="1"/>
    <col min="14" max="14" width="9.8515625" style="0" hidden="1" customWidth="1"/>
    <col min="15" max="15" width="7.8515625" style="0" hidden="1" customWidth="1"/>
    <col min="16" max="16" width="10.00390625" style="0" hidden="1" customWidth="1"/>
    <col min="17" max="18" width="8.8515625" style="0" hidden="1" customWidth="1"/>
    <col min="19" max="20" width="12.57421875" style="28" hidden="1" customWidth="1"/>
    <col min="21" max="21" width="12.00390625" style="40" hidden="1" customWidth="1"/>
    <col min="22" max="23" width="9.140625" style="0" customWidth="1"/>
    <col min="24" max="27" width="8.8515625" style="0" customWidth="1"/>
  </cols>
  <sheetData>
    <row r="1" spans="2:21" ht="27.75" customHeight="1">
      <c r="B1" s="38" t="s">
        <v>218</v>
      </c>
      <c r="F1" s="120" t="s">
        <v>126</v>
      </c>
      <c r="G1" s="122" t="str">
        <f>'Data Entry'!G5</f>
        <v>Native Hawaiian or other Pacific Islanders</v>
      </c>
      <c r="H1" s="47"/>
      <c r="I1" s="47"/>
      <c r="J1" s="47"/>
      <c r="K1" s="160"/>
      <c r="N1" s="162"/>
      <c r="O1" s="162"/>
      <c r="P1" s="162"/>
      <c r="Q1" s="162"/>
      <c r="R1" s="56" t="s">
        <v>200</v>
      </c>
      <c r="S1" s="56"/>
      <c r="T1" s="56"/>
      <c r="U1" s="56"/>
    </row>
    <row r="2" spans="2:21" ht="13.5" customHeight="1">
      <c r="B2" s="164" t="str">
        <f>'Data Entry'!A2</f>
        <v>State : Virginia</v>
      </c>
      <c r="C2" s="135" t="str">
        <f>'Data Entry'!C3</f>
        <v> Reporting Period  7/1/2012</v>
      </c>
      <c r="D2" s="119"/>
      <c r="H2" s="32"/>
      <c r="I2" s="32"/>
      <c r="N2" s="166" t="s">
        <v>42</v>
      </c>
      <c r="O2" s="160"/>
      <c r="P2" s="160"/>
      <c r="Q2" s="160"/>
      <c r="R2" s="56"/>
      <c r="S2" s="56"/>
      <c r="T2" s="56"/>
      <c r="U2" s="56"/>
    </row>
    <row r="3" spans="2:21" ht="13.5" customHeight="1">
      <c r="B3" s="164" t="str">
        <f>'Data Entry'!A3</f>
        <v>County : Statewide</v>
      </c>
      <c r="C3" s="85" t="str">
        <f>'Data Entry'!C4</f>
        <v>through  6/30/2013</v>
      </c>
      <c r="D3" s="119"/>
      <c r="E3" s="102"/>
      <c r="F3" s="48" t="s">
        <v>197</v>
      </c>
      <c r="G3" s="48" t="str">
        <f>'Data Entry'!$K$5</f>
        <v>White</v>
      </c>
      <c r="H3" s="33"/>
      <c r="I3" s="33"/>
      <c r="J3" s="33"/>
      <c r="K3" s="33"/>
      <c r="N3" s="160"/>
      <c r="O3" s="160"/>
      <c r="P3" s="160"/>
      <c r="Q3" s="160"/>
      <c r="R3" s="56"/>
      <c r="S3" s="56"/>
      <c r="T3" s="56"/>
      <c r="U3" s="56"/>
    </row>
    <row r="4" spans="2:21" ht="8.25" customHeight="1">
      <c r="B4" s="130"/>
      <c r="C4" s="154"/>
      <c r="D4" s="154"/>
      <c r="E4" s="154"/>
      <c r="F4" s="154"/>
      <c r="G4" s="66"/>
      <c r="H4" s="66"/>
      <c r="I4" s="66"/>
      <c r="J4" s="8"/>
      <c r="K4" s="8"/>
      <c r="N4" s="160"/>
      <c r="O4" s="160"/>
      <c r="P4" s="160"/>
      <c r="Q4" s="160"/>
      <c r="R4" s="56"/>
      <c r="S4" s="56"/>
      <c r="T4" s="56"/>
      <c r="U4" s="56"/>
    </row>
    <row r="5" spans="2:23" ht="66.75" customHeight="1" thickBot="1">
      <c r="B5" s="107" t="s">
        <v>1</v>
      </c>
      <c r="C5" s="20" t="s">
        <v>236</v>
      </c>
      <c r="D5" s="161" t="s">
        <v>189</v>
      </c>
      <c r="E5" s="20" t="s">
        <v>148</v>
      </c>
      <c r="F5" s="20" t="s">
        <v>136</v>
      </c>
      <c r="G5" s="93" t="s">
        <v>98</v>
      </c>
      <c r="H5" s="80"/>
      <c r="I5" s="80"/>
      <c r="J5" s="108" t="s">
        <v>191</v>
      </c>
      <c r="K5" s="73" t="s">
        <v>154</v>
      </c>
      <c r="L5" s="160" t="s">
        <v>70</v>
      </c>
      <c r="M5" s="160" t="s">
        <v>203</v>
      </c>
      <c r="N5" s="153" t="s">
        <v>107</v>
      </c>
      <c r="O5" s="162" t="s">
        <v>125</v>
      </c>
      <c r="P5" s="162" t="s">
        <v>213</v>
      </c>
      <c r="Q5" s="162" t="s">
        <v>227</v>
      </c>
      <c r="R5" t="s">
        <v>32</v>
      </c>
      <c r="S5" s="160" t="s">
        <v>63</v>
      </c>
      <c r="T5" t="s">
        <v>226</v>
      </c>
      <c r="U5" t="s">
        <v>127</v>
      </c>
      <c r="W5" s="160"/>
    </row>
    <row r="6" spans="2:21" ht="20.25" customHeight="1" thickBot="1">
      <c r="B6" s="115" t="str">
        <f>'Data Entry'!A6</f>
        <v>1. Population at risk (age 10  through 17 ) </v>
      </c>
      <c r="C6" s="159">
        <f>'Data Entry'!K6</f>
        <v>482993</v>
      </c>
      <c r="D6" s="156"/>
      <c r="E6" s="159">
        <f>'Data Entry'!G6</f>
        <v>0</v>
      </c>
      <c r="F6" s="156"/>
      <c r="G6" s="84"/>
      <c r="H6" s="16"/>
      <c r="I6" s="78"/>
      <c r="J6" s="57"/>
      <c r="K6" s="127"/>
      <c r="L6">
        <f>IF(('Data Entry'!G6&gt;('Data Entry'!B6/100)),1,100)</f>
        <v>100</v>
      </c>
      <c r="M6" t="s">
        <v>81</v>
      </c>
      <c r="N6" s="162"/>
      <c r="O6" s="162"/>
      <c r="P6" s="162"/>
      <c r="Q6" s="162"/>
      <c r="S6"/>
      <c r="T6"/>
      <c r="U6"/>
    </row>
    <row r="7" spans="2:21" ht="18" customHeight="1" thickBot="1">
      <c r="B7" s="115" t="str">
        <f>'Data Entry'!A7</f>
        <v>2. Juvenile Arrests </v>
      </c>
      <c r="C7" s="159">
        <f>'Data Entry'!K7</f>
        <v>0</v>
      </c>
      <c r="D7" s="68">
        <f>IF((AND(C66&gt;0,C7&gt;0)),(C7/C66),0)</f>
        <v>0</v>
      </c>
      <c r="E7" s="159">
        <f>'Data Entry'!G7</f>
        <v>0</v>
      </c>
      <c r="F7" s="68">
        <f>IF((AND($E$7&gt;0,$D$66&gt;0)),($E$7/$D$66),0)</f>
        <v>0</v>
      </c>
      <c r="G7" s="138" t="str">
        <f aca="true" t="shared" si="0" ref="G7:G15">IF(L$6=100,"*",IF(M7=FALSE,"--",IF(K7=20,"**",($F7/$D7))))</f>
        <v>*</v>
      </c>
      <c r="H7" s="55"/>
      <c r="I7" s="64"/>
      <c r="J7" s="23">
        <f>IF((ABS($U7)&gt;Defaults!D$7),1,2)</f>
        <v>2</v>
      </c>
      <c r="K7" s="15">
        <f>IF((AND(N7&gt;Defaults!B$12,(N7+O7)&gt;Defaults!B$13,P7&gt;Defaults!B$12,(P7+Q7)&gt;Defaults!B$13)),1,20)</f>
        <v>20</v>
      </c>
      <c r="L7">
        <f aca="true" t="shared" si="1" ref="L7:L15">(J7*K7+L$6)-1</f>
        <v>139</v>
      </c>
      <c r="M7" t="b">
        <f aca="true" t="shared" si="2" ref="M7:M15">(ISNUMBER(J7))</f>
        <v>1</v>
      </c>
      <c r="N7" s="123">
        <f aca="true" t="shared" si="3" ref="N7:N15">E7</f>
        <v>0</v>
      </c>
      <c r="O7" s="123">
        <f>E6-E7</f>
        <v>0</v>
      </c>
      <c r="P7" s="123">
        <f aca="true" t="shared" si="4" ref="P7:P15">C7</f>
        <v>0</v>
      </c>
      <c r="Q7" s="123">
        <f>C6-C7</f>
        <v>482993</v>
      </c>
      <c r="R7">
        <f>0.05+(D7*(D66))</f>
        <v>0.05</v>
      </c>
      <c r="S7">
        <f aca="true" t="shared" si="5" ref="S7:S15">ROUND(R7-E7,0)</f>
        <v>0</v>
      </c>
      <c r="T7">
        <f aca="true" t="shared" si="6" ref="T7:T15">S7^2</f>
        <v>0</v>
      </c>
      <c r="U7">
        <f aca="true" t="shared" si="7" ref="U7:U15">T7/R7</f>
        <v>0</v>
      </c>
    </row>
    <row r="8" spans="2:21" ht="18" customHeight="1" thickBot="1">
      <c r="B8" s="115" t="str">
        <f>'Data Entry'!A8</f>
        <v>3. Refer to Juvenile Court</v>
      </c>
      <c r="C8" s="159">
        <f>'Data Entry'!K8</f>
        <v>18677</v>
      </c>
      <c r="D8" s="68">
        <f>IF((AND(C67&gt;0,C8&gt;0)),(C8/C67),0)</f>
        <v>38.669297484642634</v>
      </c>
      <c r="E8" s="159">
        <f>'Data Entry'!G8</f>
        <v>0</v>
      </c>
      <c r="F8" s="68">
        <f>IF((AND($E$8&gt;0,$D$67&gt;0)),($E8/$D67),0)</f>
        <v>0</v>
      </c>
      <c r="G8" s="138" t="str">
        <f t="shared" si="0"/>
        <v>*</v>
      </c>
      <c r="H8" s="55"/>
      <c r="I8" s="64"/>
      <c r="J8" s="23">
        <f>IF((ABS($U8)&gt;Defaults!D$7),1,2)</f>
        <v>2</v>
      </c>
      <c r="K8" s="15">
        <f>IF((AND(N8&gt;Defaults!B$12,(N8+O8)&gt;Defaults!B$13,P8&gt;Defaults!B$12,(P8+Q8)&gt;Defaults!B$13)),1,20)</f>
        <v>20</v>
      </c>
      <c r="L8">
        <f t="shared" si="1"/>
        <v>139</v>
      </c>
      <c r="M8" t="b">
        <f t="shared" si="2"/>
        <v>1</v>
      </c>
      <c r="N8" s="123">
        <f t="shared" si="3"/>
        <v>0</v>
      </c>
      <c r="O8" s="123">
        <f>((D67*L67)-E8)+0.05</f>
        <v>0.05</v>
      </c>
      <c r="P8" s="123">
        <f t="shared" si="4"/>
        <v>18677</v>
      </c>
      <c r="Q8" s="123">
        <f>(C$67*L67)-C8</f>
        <v>464316</v>
      </c>
      <c r="R8">
        <f>D8*D67+0.05</f>
        <v>0.05</v>
      </c>
      <c r="S8">
        <f t="shared" si="5"/>
        <v>0</v>
      </c>
      <c r="T8">
        <f t="shared" si="6"/>
        <v>0</v>
      </c>
      <c r="U8">
        <f t="shared" si="7"/>
        <v>0</v>
      </c>
    </row>
    <row r="9" spans="2:21" ht="18" customHeight="1" thickBot="1">
      <c r="B9" s="115" t="str">
        <f>'Data Entry'!A9</f>
        <v>4. Cases Diverted </v>
      </c>
      <c r="C9" s="159">
        <f>'Data Entry'!K9</f>
        <v>2998</v>
      </c>
      <c r="D9" s="68">
        <f>IF((AND(C68&gt;0,C9&gt;0)),((C9/C68)),0)</f>
        <v>16.051828452106868</v>
      </c>
      <c r="E9" s="159">
        <f>'Data Entry'!G9</f>
        <v>0</v>
      </c>
      <c r="F9" s="68">
        <f>IF((AND($E$9&gt;0,$D$68&gt;0)),(($E$9/$D$68)),0)</f>
        <v>0</v>
      </c>
      <c r="G9" s="138" t="str">
        <f t="shared" si="0"/>
        <v>*</v>
      </c>
      <c r="H9" s="55"/>
      <c r="I9" s="64"/>
      <c r="J9" s="23">
        <f>IF((ABS($U9)&gt;Defaults!D$7),1,2)</f>
        <v>2</v>
      </c>
      <c r="K9" s="15">
        <f>IF((AND(N9&gt;Defaults!B$12,(N9+O9)&gt;Defaults!B$13,P9&gt;Defaults!B$12,(P9+Q9)&gt;Defaults!B$13)),1,20)</f>
        <v>20</v>
      </c>
      <c r="L9">
        <f t="shared" si="1"/>
        <v>139</v>
      </c>
      <c r="M9" t="b">
        <f t="shared" si="2"/>
        <v>1</v>
      </c>
      <c r="N9" s="123">
        <f t="shared" si="3"/>
        <v>0</v>
      </c>
      <c r="O9" s="123">
        <f>(D$68*L68)-E9</f>
        <v>0</v>
      </c>
      <c r="P9" s="123">
        <f t="shared" si="4"/>
        <v>2998</v>
      </c>
      <c r="Q9" s="123">
        <f>(C$68*L68)-C9</f>
        <v>15679</v>
      </c>
      <c r="R9">
        <f>D9*D68+0.05</f>
        <v>0.05</v>
      </c>
      <c r="S9">
        <f t="shared" si="5"/>
        <v>0</v>
      </c>
      <c r="T9">
        <f t="shared" si="6"/>
        <v>0</v>
      </c>
      <c r="U9">
        <f t="shared" si="7"/>
        <v>0</v>
      </c>
    </row>
    <row r="10" spans="2:21" ht="18" customHeight="1" thickBot="1">
      <c r="B10" s="115" t="str">
        <f>'Data Entry'!A10</f>
        <v>5. Cases Involving Secure Detention</v>
      </c>
      <c r="C10" s="159">
        <f>'Data Entry'!K10</f>
        <v>2398</v>
      </c>
      <c r="D10" s="68">
        <f>IF(((AND(C68&gt;0,C10&gt;0))),(C10/(C68)),0)</f>
        <v>12.83932109011083</v>
      </c>
      <c r="E10" s="159">
        <f>'Data Entry'!G10</f>
        <v>0</v>
      </c>
      <c r="F10" s="68">
        <f>IF(((AND($E$10&gt;0,$D$68&gt;0))),($E$10/($D$68)),0)</f>
        <v>0</v>
      </c>
      <c r="G10" s="138" t="str">
        <f t="shared" si="0"/>
        <v>*</v>
      </c>
      <c r="H10" s="55"/>
      <c r="I10" s="64"/>
      <c r="J10" s="23">
        <f>IF((ABS($U10)&gt;Defaults!D$7),1,2)</f>
        <v>2</v>
      </c>
      <c r="K10" s="15">
        <f>IF((AND(N10&gt;Defaults!B$12,(N10+O10)&gt;Defaults!B$13,P10&gt;Defaults!B$12,(P10+Q10)&gt;Defaults!B$13)),1,20)</f>
        <v>20</v>
      </c>
      <c r="L10">
        <f t="shared" si="1"/>
        <v>139</v>
      </c>
      <c r="M10" t="b">
        <f t="shared" si="2"/>
        <v>1</v>
      </c>
      <c r="N10" s="123">
        <f t="shared" si="3"/>
        <v>0</v>
      </c>
      <c r="O10" s="123">
        <f>(D$68*L68)-E10</f>
        <v>0</v>
      </c>
      <c r="P10" s="123">
        <f t="shared" si="4"/>
        <v>2398</v>
      </c>
      <c r="Q10" s="123">
        <f>(C$68*L68)-C10</f>
        <v>16279</v>
      </c>
      <c r="R10">
        <f>D10*D68+0.05</f>
        <v>0.05</v>
      </c>
      <c r="S10">
        <f t="shared" si="5"/>
        <v>0</v>
      </c>
      <c r="T10">
        <f t="shared" si="6"/>
        <v>0</v>
      </c>
      <c r="U10">
        <f t="shared" si="7"/>
        <v>0</v>
      </c>
    </row>
    <row r="11" spans="2:21" ht="18" customHeight="1" thickBot="1">
      <c r="B11" s="115" t="str">
        <f>'Data Entry'!A11</f>
        <v>6. Cases Petitioned (Charge Filed)</v>
      </c>
      <c r="C11" s="159">
        <f>'Data Entry'!K11</f>
        <v>12374</v>
      </c>
      <c r="D11" s="68">
        <f>IF(((AND(C68&gt;0,C11&gt;0))),(C11/(C68)),0)</f>
        <v>66.25261016223162</v>
      </c>
      <c r="E11" s="159">
        <f>'Data Entry'!G11</f>
        <v>0</v>
      </c>
      <c r="F11" s="68">
        <f>IF(((AND($E$11&gt;0,$D$68&gt;0))),($E$11/($D$68)),0)</f>
        <v>0</v>
      </c>
      <c r="G11" s="138" t="str">
        <f t="shared" si="0"/>
        <v>*</v>
      </c>
      <c r="H11" s="55"/>
      <c r="I11" s="64"/>
      <c r="J11" s="23">
        <f>IF((ABS($U11)&gt;Defaults!D$7),1,2)</f>
        <v>2</v>
      </c>
      <c r="K11" s="15">
        <f>IF((AND(N11&gt;Defaults!B$12,(N11+O11)&gt;Defaults!B$13,P11&gt;Defaults!B$12,(P11+Q11)&gt;Defaults!B$13)),1,20)</f>
        <v>20</v>
      </c>
      <c r="L11">
        <f t="shared" si="1"/>
        <v>139</v>
      </c>
      <c r="M11" t="b">
        <f t="shared" si="2"/>
        <v>1</v>
      </c>
      <c r="N11" s="123">
        <f t="shared" si="3"/>
        <v>0</v>
      </c>
      <c r="O11" s="123">
        <f>(D$68*L68)-E11</f>
        <v>0</v>
      </c>
      <c r="P11" s="123">
        <f t="shared" si="4"/>
        <v>12374</v>
      </c>
      <c r="Q11" s="123">
        <f>(C$68*L68)-C11</f>
        <v>6303</v>
      </c>
      <c r="R11">
        <f>D11*D68+0.05</f>
        <v>0.05</v>
      </c>
      <c r="S11">
        <f t="shared" si="5"/>
        <v>0</v>
      </c>
      <c r="T11">
        <f t="shared" si="6"/>
        <v>0</v>
      </c>
      <c r="U11">
        <f t="shared" si="7"/>
        <v>0</v>
      </c>
    </row>
    <row r="12" spans="2:21" ht="18" customHeight="1" thickBot="1">
      <c r="B12" s="115" t="str">
        <f>'Data Entry'!A12</f>
        <v>7. Cases Resulting in Delinquent Findings</v>
      </c>
      <c r="C12" s="159">
        <f>'Data Entry'!K12</f>
        <v>3316</v>
      </c>
      <c r="D12" s="68">
        <f>IF(((AND(C69&gt;0,C12&gt;0))),(C12/(C69)),0)</f>
        <v>26.798125101018265</v>
      </c>
      <c r="E12" s="159">
        <f>'Data Entry'!G12</f>
        <v>0</v>
      </c>
      <c r="F12" s="68">
        <f>IF(((AND($D$69&gt;0,$E$12&gt;0))),(E12/(D69)),0)</f>
        <v>0</v>
      </c>
      <c r="G12" s="138" t="str">
        <f t="shared" si="0"/>
        <v>*</v>
      </c>
      <c r="H12" s="55"/>
      <c r="I12" s="64"/>
      <c r="J12" s="23">
        <f>IF((ABS($U12)&gt;Defaults!D$7),1,2)</f>
        <v>2</v>
      </c>
      <c r="K12" s="15">
        <f>IF((AND(N12&gt;Defaults!B$12,(N12+O12)&gt;Defaults!B$13,P12&gt;Defaults!B$12,(P12+Q12)&gt;Defaults!B$13)),1,20)</f>
        <v>20</v>
      </c>
      <c r="L12">
        <f t="shared" si="1"/>
        <v>139</v>
      </c>
      <c r="M12" t="b">
        <f t="shared" si="2"/>
        <v>1</v>
      </c>
      <c r="N12" s="123">
        <f t="shared" si="3"/>
        <v>0</v>
      </c>
      <c r="O12" s="123">
        <f>(D69*L69)-E12</f>
        <v>0</v>
      </c>
      <c r="P12" s="123">
        <f t="shared" si="4"/>
        <v>3316</v>
      </c>
      <c r="Q12" s="123">
        <f>(C69*L69)-C12</f>
        <v>9058</v>
      </c>
      <c r="R12">
        <f>D12*D69+0.05</f>
        <v>0.05</v>
      </c>
      <c r="S12">
        <f t="shared" si="5"/>
        <v>0</v>
      </c>
      <c r="T12">
        <f t="shared" si="6"/>
        <v>0</v>
      </c>
      <c r="U12">
        <f t="shared" si="7"/>
        <v>0</v>
      </c>
    </row>
    <row r="13" spans="2:21" ht="18" customHeight="1" thickBot="1">
      <c r="B13" s="115" t="str">
        <f>'Data Entry'!A13</f>
        <v>8. Cases resulting in Probation Placement</v>
      </c>
      <c r="C13" s="159">
        <f>'Data Entry'!K13</f>
        <v>2032</v>
      </c>
      <c r="D13" s="68">
        <f>IF(((AND(C70&gt;0,C13&gt;0))),(C13/(C70)),0)</f>
        <v>61.27864897466828</v>
      </c>
      <c r="E13" s="159">
        <f>'Data Entry'!G13</f>
        <v>0</v>
      </c>
      <c r="F13" s="68">
        <f>IF(((AND($D$70&gt;0,$E$13&gt;0))),($E$13/($D$70)),0)</f>
        <v>0</v>
      </c>
      <c r="G13" s="138" t="str">
        <f t="shared" si="0"/>
        <v>*</v>
      </c>
      <c r="H13" s="55"/>
      <c r="I13" s="64"/>
      <c r="J13" s="23">
        <f>IF((ABS($U13)&gt;Defaults!D$7),1,2)</f>
        <v>2</v>
      </c>
      <c r="K13" s="15">
        <f>IF((AND(N13&gt;Defaults!B$12,(N13+O13)&gt;Defaults!B$13,P13&gt;Defaults!B$12,(P13+Q13)&gt;Defaults!B$13)),1,20)</f>
        <v>20</v>
      </c>
      <c r="L13">
        <f t="shared" si="1"/>
        <v>139</v>
      </c>
      <c r="M13" t="b">
        <f t="shared" si="2"/>
        <v>1</v>
      </c>
      <c r="N13" s="123">
        <f t="shared" si="3"/>
        <v>0</v>
      </c>
      <c r="O13" s="123">
        <f>(D70*L70)-E13</f>
        <v>0</v>
      </c>
      <c r="P13" s="123">
        <f t="shared" si="4"/>
        <v>2032</v>
      </c>
      <c r="Q13" s="123">
        <f>(C70*L70)-C13</f>
        <v>1283.9999999999995</v>
      </c>
      <c r="R13">
        <f>D13*D70+0.05</f>
        <v>0.05</v>
      </c>
      <c r="S13">
        <f t="shared" si="5"/>
        <v>0</v>
      </c>
      <c r="T13">
        <f t="shared" si="6"/>
        <v>0</v>
      </c>
      <c r="U13">
        <f t="shared" si="7"/>
        <v>0</v>
      </c>
    </row>
    <row r="14" spans="2:21" ht="30.75" thickBot="1">
      <c r="B14" s="115" t="str">
        <f>'Data Entry'!A14</f>
        <v>9. Cases Resulting in Confinement in Secure    Juvenile Correctional Facilities </v>
      </c>
      <c r="C14" s="159">
        <f>'Data Entry'!K14</f>
        <v>121</v>
      </c>
      <c r="D14" s="68">
        <f>IF(((AND(C70&gt;0,C14&gt;0))),((C14/(C70))),0)</f>
        <v>3.6489746682750304</v>
      </c>
      <c r="E14" s="159">
        <f>'Data Entry'!G14</f>
        <v>0</v>
      </c>
      <c r="F14" s="68">
        <f>IF(((AND($D$70&gt;0,$E$14&gt;0))),(($E$14/($D$70))),0)</f>
        <v>0</v>
      </c>
      <c r="G14" s="138" t="str">
        <f t="shared" si="0"/>
        <v>*</v>
      </c>
      <c r="H14" s="55"/>
      <c r="I14" s="64"/>
      <c r="J14" s="23">
        <f>IF((ABS($U14)&gt;Defaults!D$7),1,2)</f>
        <v>2</v>
      </c>
      <c r="K14" s="15">
        <f>IF((AND(N14&gt;Defaults!B$12,(N14+O14)&gt;Defaults!B$13,P14&gt;Defaults!B$12,(P14+Q14)&gt;Defaults!B$13)),1,20)</f>
        <v>20</v>
      </c>
      <c r="L14">
        <f t="shared" si="1"/>
        <v>139</v>
      </c>
      <c r="M14" t="b">
        <f t="shared" si="2"/>
        <v>1</v>
      </c>
      <c r="N14" s="123">
        <f t="shared" si="3"/>
        <v>0</v>
      </c>
      <c r="O14" s="123">
        <f>(D70*L70)-E14</f>
        <v>0</v>
      </c>
      <c r="P14" s="123">
        <f t="shared" si="4"/>
        <v>121</v>
      </c>
      <c r="Q14" s="123">
        <f>(C70*L70)-C14</f>
        <v>3194.9999999999995</v>
      </c>
      <c r="R14">
        <f>D14*D70+0.05</f>
        <v>0.05</v>
      </c>
      <c r="S14">
        <f t="shared" si="5"/>
        <v>0</v>
      </c>
      <c r="T14">
        <f t="shared" si="6"/>
        <v>0</v>
      </c>
      <c r="U14">
        <f t="shared" si="7"/>
        <v>0</v>
      </c>
    </row>
    <row r="15" spans="2:21" ht="15.75" thickBot="1">
      <c r="B15" s="115" t="str">
        <f>'Data Entry'!A15</f>
        <v>10. Cases Transferred to Adult Court </v>
      </c>
      <c r="C15" s="159">
        <f>'Data Entry'!K15</f>
        <v>0</v>
      </c>
      <c r="D15" s="68">
        <f>IF(((AND(C69&gt;0,C15&gt;0))),((C15/(C69))),0)</f>
        <v>0</v>
      </c>
      <c r="E15" s="159">
        <f>'Data Entry'!G15</f>
        <v>0</v>
      </c>
      <c r="F15" s="68">
        <f>IF(((AND($D$69&gt;0,$E$15&gt;0))),(($E$15/($D$69))),0)</f>
        <v>0</v>
      </c>
      <c r="G15" s="138" t="str">
        <f t="shared" si="0"/>
        <v>*</v>
      </c>
      <c r="H15" s="55"/>
      <c r="I15" s="64"/>
      <c r="J15" s="23">
        <f>IF((ABS($U15)&gt;Defaults!D$7),1,2)</f>
        <v>2</v>
      </c>
      <c r="K15" s="15">
        <f>IF((AND(N15&gt;Defaults!B$12,(N15+O15)&gt;Defaults!B$13,P15&gt;Defaults!B$12,(P15+Q15)&gt;Defaults!B$13)),1,20)</f>
        <v>20</v>
      </c>
      <c r="L15">
        <f t="shared" si="1"/>
        <v>139</v>
      </c>
      <c r="M15" t="b">
        <f t="shared" si="2"/>
        <v>1</v>
      </c>
      <c r="N15" s="123">
        <f t="shared" si="3"/>
        <v>0</v>
      </c>
      <c r="O15" s="123">
        <f>(D69*L69)-E15</f>
        <v>0</v>
      </c>
      <c r="P15" s="123">
        <f t="shared" si="4"/>
        <v>0</v>
      </c>
      <c r="Q15" s="123">
        <f>(C69*L69)-C15</f>
        <v>12374</v>
      </c>
      <c r="R15">
        <f>D15*D69+0.05</f>
        <v>0.05</v>
      </c>
      <c r="S15">
        <f t="shared" si="5"/>
        <v>0</v>
      </c>
      <c r="T15">
        <f t="shared" si="6"/>
        <v>0</v>
      </c>
      <c r="U15">
        <f t="shared" si="7"/>
        <v>0</v>
      </c>
    </row>
    <row r="16" spans="2:21" ht="12" customHeight="1">
      <c r="B16" s="103" t="s">
        <v>40</v>
      </c>
      <c r="C16" s="63"/>
      <c r="D16" s="63"/>
      <c r="E16" s="63"/>
      <c r="F16" s="63"/>
      <c r="G16" s="63"/>
      <c r="H16" s="63"/>
      <c r="I16" s="63"/>
      <c r="N16" s="162"/>
      <c r="O16" s="162"/>
      <c r="P16" s="162"/>
      <c r="Q16" s="162"/>
      <c r="S16"/>
      <c r="T16"/>
      <c r="U16"/>
    </row>
    <row r="17" spans="2:21" ht="26.25" customHeight="1">
      <c r="B17" s="103"/>
      <c r="C17" s="63"/>
      <c r="D17" s="63"/>
      <c r="E17" s="63"/>
      <c r="F17" s="63"/>
      <c r="G17" s="63"/>
      <c r="H17" s="63"/>
      <c r="I17" s="63"/>
      <c r="N17" s="162"/>
      <c r="O17" s="162"/>
      <c r="P17" s="162"/>
      <c r="Q17" s="162"/>
      <c r="S17"/>
      <c r="T17"/>
      <c r="U17"/>
    </row>
    <row r="18" spans="2:21" ht="15">
      <c r="B18" t="s">
        <v>113</v>
      </c>
      <c r="N18" s="49"/>
      <c r="O18" s="49"/>
      <c r="P18" s="49"/>
      <c r="Q18" s="49"/>
      <c r="S18"/>
      <c r="T18"/>
      <c r="U18"/>
    </row>
    <row r="19" spans="2:21" ht="15">
      <c r="B19" t="s">
        <v>151</v>
      </c>
      <c r="D19" s="61" t="s">
        <v>118</v>
      </c>
      <c r="N19" s="49"/>
      <c r="O19" s="49"/>
      <c r="P19" s="49"/>
      <c r="Q19" s="49"/>
      <c r="S19"/>
      <c r="T19"/>
      <c r="U19"/>
    </row>
    <row r="20" spans="2:21" ht="15">
      <c r="B20" t="s">
        <v>34</v>
      </c>
      <c r="D20" t="s">
        <v>57</v>
      </c>
      <c r="N20" s="49"/>
      <c r="O20" s="49"/>
      <c r="P20" s="49"/>
      <c r="Q20" s="49"/>
      <c r="S20"/>
      <c r="T20"/>
      <c r="U20"/>
    </row>
    <row r="21" spans="2:21" ht="15">
      <c r="B21" t="s">
        <v>199</v>
      </c>
      <c r="D21" t="s">
        <v>195</v>
      </c>
      <c r="N21" s="49"/>
      <c r="O21" s="49"/>
      <c r="P21" s="49"/>
      <c r="Q21" s="49"/>
      <c r="S21"/>
      <c r="T21"/>
      <c r="U21"/>
    </row>
    <row r="22" spans="2:21" ht="15">
      <c r="B22" t="s">
        <v>103</v>
      </c>
      <c r="D22" t="s">
        <v>214</v>
      </c>
      <c r="N22" s="49"/>
      <c r="O22" s="49"/>
      <c r="P22" s="49"/>
      <c r="Q22" s="49"/>
      <c r="S22"/>
      <c r="T22"/>
      <c r="U22"/>
    </row>
    <row r="23" spans="2:21" ht="15">
      <c r="B23" t="s">
        <v>129</v>
      </c>
      <c r="D23" s="163" t="s">
        <v>180</v>
      </c>
      <c r="K23" t="s">
        <v>70</v>
      </c>
      <c r="N23" s="49"/>
      <c r="O23" s="49"/>
      <c r="P23" s="49"/>
      <c r="Q23" s="49"/>
      <c r="S23"/>
      <c r="T23"/>
      <c r="U23"/>
    </row>
    <row r="24" spans="2:21" ht="26.25" customHeight="1">
      <c r="B24" s="103"/>
      <c r="C24" s="63"/>
      <c r="D24" s="63"/>
      <c r="E24" s="63"/>
      <c r="F24" s="63"/>
      <c r="G24" s="63"/>
      <c r="H24" s="63"/>
      <c r="I24" s="63"/>
      <c r="N24" s="162"/>
      <c r="O24" s="162"/>
      <c r="P24" s="162"/>
      <c r="Q24" s="162"/>
      <c r="S24"/>
      <c r="T24"/>
      <c r="U24"/>
    </row>
    <row r="25" spans="2:21" ht="15">
      <c r="B25" s="117" t="s">
        <v>96</v>
      </c>
      <c r="K25" t="s">
        <v>198</v>
      </c>
      <c r="L25" t="s">
        <v>2</v>
      </c>
      <c r="N25" s="162"/>
      <c r="O25" s="162" t="b">
        <f>ISBLANK(N12)</f>
        <v>0</v>
      </c>
      <c r="P25" s="162"/>
      <c r="Q25" s="162"/>
      <c r="S25"/>
      <c r="T25"/>
      <c r="U25"/>
    </row>
    <row r="26" spans="2:21" ht="15" customHeight="1">
      <c r="B26" s="95" t="s">
        <v>78</v>
      </c>
      <c r="C26" s="142"/>
      <c r="D26" s="142"/>
      <c r="E26" s="142"/>
      <c r="F26" s="95" t="s">
        <v>207</v>
      </c>
      <c r="G26" s="95"/>
      <c r="H26" s="95"/>
      <c r="I26" s="95"/>
      <c r="J26" s="95"/>
      <c r="K26" s="157" t="s">
        <v>180</v>
      </c>
      <c r="L26" s="97" t="s">
        <v>217</v>
      </c>
      <c r="M26" s="97"/>
      <c r="N26" s="49"/>
      <c r="O26" s="49"/>
      <c r="P26" s="49"/>
      <c r="Q26" s="49"/>
      <c r="S26"/>
      <c r="T26"/>
      <c r="U26"/>
    </row>
    <row r="27" spans="2:21" ht="15" customHeight="1">
      <c r="B27" s="6" t="s">
        <v>9</v>
      </c>
      <c r="C27" s="6"/>
      <c r="D27" s="6"/>
      <c r="E27" s="6"/>
      <c r="F27" s="6" t="str">
        <f>B66</f>
        <v>per 1000 youth</v>
      </c>
      <c r="G27" s="6"/>
      <c r="H27" s="6"/>
      <c r="I27" s="6"/>
      <c r="J27" s="6">
        <f>F66</f>
        <v>0</v>
      </c>
      <c r="K27" s="6" t="s">
        <v>214</v>
      </c>
      <c r="L27" s="54" t="s">
        <v>161</v>
      </c>
      <c r="M27" s="142"/>
      <c r="N27" s="49"/>
      <c r="O27" s="49"/>
      <c r="P27" s="49"/>
      <c r="Q27" s="49"/>
      <c r="S27"/>
      <c r="T27"/>
      <c r="U27"/>
    </row>
    <row r="28" spans="2:21" ht="15" customHeight="1">
      <c r="B28" s="6" t="s">
        <v>94</v>
      </c>
      <c r="C28" s="6"/>
      <c r="D28" s="6"/>
      <c r="E28" s="6"/>
      <c r="F28" s="89" t="str">
        <f>B67</f>
        <v>per 1000 youth</v>
      </c>
      <c r="G28" s="89"/>
      <c r="H28" s="89"/>
      <c r="I28" s="89"/>
      <c r="J28" s="89"/>
      <c r="K28" s="89" t="s">
        <v>195</v>
      </c>
      <c r="L28" s="104" t="s">
        <v>26</v>
      </c>
      <c r="M28" s="142"/>
      <c r="N28" s="49"/>
      <c r="O28" s="49"/>
      <c r="P28" s="49"/>
      <c r="Q28" s="49"/>
      <c r="S28"/>
      <c r="T28"/>
      <c r="U28"/>
    </row>
    <row r="29" spans="2:21" ht="15" customHeight="1">
      <c r="B29" s="89" t="s">
        <v>158</v>
      </c>
      <c r="C29" s="89"/>
      <c r="D29" s="89"/>
      <c r="E29" s="89"/>
      <c r="F29" s="89" t="str">
        <f>B68</f>
        <v>per 100 referrals</v>
      </c>
      <c r="G29" s="89"/>
      <c r="H29" s="89"/>
      <c r="I29" s="89"/>
      <c r="J29" s="89"/>
      <c r="K29" s="89"/>
      <c r="L29" s="104"/>
      <c r="M29" s="142"/>
      <c r="N29" s="49"/>
      <c r="O29" s="49"/>
      <c r="P29" s="49"/>
      <c r="Q29" s="49"/>
      <c r="S29"/>
      <c r="T29"/>
      <c r="U29"/>
    </row>
    <row r="30" spans="2:21" ht="15" customHeight="1">
      <c r="B30" s="89" t="s">
        <v>48</v>
      </c>
      <c r="C30" s="89"/>
      <c r="D30" s="89"/>
      <c r="E30" s="89"/>
      <c r="F30" s="89" t="str">
        <f>B68</f>
        <v>per 100 referrals</v>
      </c>
      <c r="G30" s="89"/>
      <c r="H30" s="89"/>
      <c r="I30" s="89"/>
      <c r="J30" s="89"/>
      <c r="K30" s="89"/>
      <c r="L30" s="104"/>
      <c r="M30" s="142"/>
      <c r="N30" s="49" t="b">
        <f>ISNUMBER(J14)</f>
        <v>1</v>
      </c>
      <c r="O30" s="49"/>
      <c r="P30" s="49"/>
      <c r="Q30" s="49"/>
      <c r="S30"/>
      <c r="T30"/>
      <c r="U30"/>
    </row>
    <row r="31" spans="2:21" ht="15" customHeight="1">
      <c r="B31" s="89" t="s">
        <v>20</v>
      </c>
      <c r="C31" s="89"/>
      <c r="D31" s="89"/>
      <c r="E31" s="89"/>
      <c r="F31" s="89" t="str">
        <f>B68</f>
        <v>per 100 referrals</v>
      </c>
      <c r="G31" s="89"/>
      <c r="H31" s="89"/>
      <c r="I31" s="89"/>
      <c r="J31" s="89"/>
      <c r="K31" s="89"/>
      <c r="L31" s="104"/>
      <c r="M31" s="142"/>
      <c r="N31" s="49"/>
      <c r="O31" s="49"/>
      <c r="P31" s="49"/>
      <c r="Q31" s="49"/>
      <c r="S31"/>
      <c r="T31"/>
      <c r="U31"/>
    </row>
    <row r="32" spans="2:21" ht="15" customHeight="1">
      <c r="B32" s="89" t="s">
        <v>41</v>
      </c>
      <c r="C32" s="89"/>
      <c r="D32" s="89"/>
      <c r="E32" s="89"/>
      <c r="F32" s="89" t="str">
        <f>B69</f>
        <v>per 100 youth petitioned</v>
      </c>
      <c r="G32" s="89"/>
      <c r="H32" s="89"/>
      <c r="I32" s="89"/>
      <c r="J32" s="89"/>
      <c r="K32" s="89"/>
      <c r="L32" s="104"/>
      <c r="M32" s="142"/>
      <c r="N32" s="49"/>
      <c r="O32" s="49"/>
      <c r="P32" s="49"/>
      <c r="Q32" s="49"/>
      <c r="S32"/>
      <c r="T32"/>
      <c r="U32"/>
    </row>
    <row r="33" spans="2:21" ht="15" customHeight="1">
      <c r="B33" s="89" t="s">
        <v>111</v>
      </c>
      <c r="C33" s="89"/>
      <c r="D33" s="89"/>
      <c r="E33" s="89"/>
      <c r="F33" s="89" t="str">
        <f>B70</f>
        <v>per 100 youth found delinquent</v>
      </c>
      <c r="G33" s="89"/>
      <c r="H33" s="89"/>
      <c r="I33" s="89"/>
      <c r="J33" s="89"/>
      <c r="K33" s="89"/>
      <c r="L33" s="104"/>
      <c r="M33" s="142"/>
      <c r="N33" s="49"/>
      <c r="O33" s="49"/>
      <c r="P33" s="49"/>
      <c r="Q33" s="49"/>
      <c r="S33"/>
      <c r="T33"/>
      <c r="U33"/>
    </row>
    <row r="34" spans="2:21" ht="15" customHeight="1">
      <c r="B34" s="89" t="s">
        <v>64</v>
      </c>
      <c r="C34" s="89"/>
      <c r="D34" s="89"/>
      <c r="E34" s="89"/>
      <c r="F34" s="89" t="str">
        <f>B70</f>
        <v>per 100 youth found delinquent</v>
      </c>
      <c r="G34" s="89"/>
      <c r="H34" s="89"/>
      <c r="I34" s="89"/>
      <c r="J34" s="89"/>
      <c r="K34" s="89"/>
      <c r="L34" s="104"/>
      <c r="M34" s="142"/>
      <c r="N34" s="49"/>
      <c r="O34" s="49"/>
      <c r="P34" s="49"/>
      <c r="Q34" s="49"/>
      <c r="S34"/>
      <c r="T34"/>
      <c r="U34"/>
    </row>
    <row r="35" spans="2:21" ht="15" customHeight="1">
      <c r="B35" s="89" t="s">
        <v>74</v>
      </c>
      <c r="C35" s="89"/>
      <c r="D35" s="89"/>
      <c r="E35" s="89"/>
      <c r="F35" s="89" t="str">
        <f>B69</f>
        <v>per 100 youth petitioned</v>
      </c>
      <c r="G35" s="89"/>
      <c r="H35" s="89"/>
      <c r="I35" s="89"/>
      <c r="J35" s="89"/>
      <c r="K35" s="89"/>
      <c r="L35" s="104"/>
      <c r="M35" s="142"/>
      <c r="N35" s="49"/>
      <c r="O35" s="49"/>
      <c r="P35" s="49"/>
      <c r="Q35" s="49"/>
      <c r="S35"/>
      <c r="T35"/>
      <c r="U35"/>
    </row>
    <row r="36" spans="10:21" ht="15" customHeight="1">
      <c r="J36" s="142"/>
      <c r="K36" s="142"/>
      <c r="L36" s="142"/>
      <c r="M36" s="142"/>
      <c r="N36" s="49"/>
      <c r="O36" s="49"/>
      <c r="P36" s="49"/>
      <c r="Q36" s="49"/>
      <c r="S36"/>
      <c r="T36"/>
      <c r="U36"/>
    </row>
    <row r="37" spans="14:21" ht="13.5" customHeight="1" hidden="1">
      <c r="N37" s="49"/>
      <c r="O37" s="49"/>
      <c r="P37" s="49"/>
      <c r="Q37" s="49"/>
      <c r="S37"/>
      <c r="T37"/>
      <c r="U37"/>
    </row>
    <row r="38" spans="14:21" ht="13.5" customHeight="1" hidden="1">
      <c r="N38" s="49"/>
      <c r="O38" s="49"/>
      <c r="P38" s="49"/>
      <c r="Q38" s="49"/>
      <c r="S38"/>
      <c r="T38"/>
      <c r="U38"/>
    </row>
    <row r="39" spans="14:21" ht="13.5" customHeight="1" hidden="1">
      <c r="N39" s="49"/>
      <c r="O39" s="49"/>
      <c r="P39" s="49"/>
      <c r="Q39" s="49"/>
      <c r="S39"/>
      <c r="T39"/>
      <c r="U39"/>
    </row>
    <row r="40" spans="2:21" ht="30.75" customHeight="1" hidden="1">
      <c r="B40" s="50" t="s">
        <v>65</v>
      </c>
      <c r="C40" s="160"/>
      <c r="D40" s="160"/>
      <c r="E40" s="160"/>
      <c r="F40" s="160"/>
      <c r="G40" s="160"/>
      <c r="H40" s="160"/>
      <c r="I40" s="160"/>
      <c r="J40" s="160"/>
      <c r="K40" s="160"/>
      <c r="N40" s="49"/>
      <c r="O40" s="49"/>
      <c r="P40" s="49"/>
      <c r="Q40" s="49"/>
      <c r="S40"/>
      <c r="T40"/>
      <c r="U40"/>
    </row>
    <row r="41" spans="2:21" ht="13.5" customHeight="1" hidden="1">
      <c r="B41" s="124" t="s">
        <v>52</v>
      </c>
      <c r="C41" s="83" t="s">
        <v>206</v>
      </c>
      <c r="D41" s="148" t="s">
        <v>15</v>
      </c>
      <c r="E41" s="83" t="s">
        <v>99</v>
      </c>
      <c r="G41" s="83" t="s">
        <v>117</v>
      </c>
      <c r="H41" s="83"/>
      <c r="I41" s="83"/>
      <c r="L41" t="s">
        <v>230</v>
      </c>
      <c r="N41" s="49"/>
      <c r="O41" s="49"/>
      <c r="P41" s="49"/>
      <c r="Q41" s="49"/>
      <c r="S41"/>
      <c r="T41"/>
      <c r="U41"/>
    </row>
    <row r="42" spans="2:21" ht="13.5" customHeight="1" hidden="1">
      <c r="B42" s="5" t="s">
        <v>170</v>
      </c>
      <c r="C42" s="60">
        <f>C6/1000</f>
        <v>482.993</v>
      </c>
      <c r="D42" s="60">
        <f>E6/1000</f>
        <v>0</v>
      </c>
      <c r="E42" s="60">
        <f>MAX(C42:D42)</f>
        <v>482.993</v>
      </c>
      <c r="G42" t="str">
        <f>B42</f>
        <v>per 1000 youth</v>
      </c>
      <c r="L42" s="134">
        <v>1000</v>
      </c>
      <c r="M42" s="134"/>
      <c r="N42" s="49"/>
      <c r="O42" s="49"/>
      <c r="P42" s="49"/>
      <c r="Q42" s="49"/>
      <c r="S42"/>
      <c r="T42"/>
      <c r="U42"/>
    </row>
    <row r="43" spans="2:21" ht="13.5" customHeight="1" hidden="1">
      <c r="B43" s="5" t="s">
        <v>167</v>
      </c>
      <c r="C43" s="60">
        <f>C7/100</f>
        <v>0</v>
      </c>
      <c r="D43" s="60">
        <f>E7/100</f>
        <v>0</v>
      </c>
      <c r="E43" s="60">
        <f>MAX(C43:D43,0)</f>
        <v>0</v>
      </c>
      <c r="G43" t="str">
        <f>B43</f>
        <v>per 100 arrests</v>
      </c>
      <c r="L43" s="134">
        <v>100</v>
      </c>
      <c r="M43" s="134"/>
      <c r="N43" s="49"/>
      <c r="O43" s="49"/>
      <c r="P43" s="49"/>
      <c r="Q43" s="49"/>
      <c r="S43"/>
      <c r="T43"/>
      <c r="U43"/>
    </row>
    <row r="44" spans="2:21" ht="13.5" customHeight="1" hidden="1">
      <c r="B44" s="5" t="s">
        <v>95</v>
      </c>
      <c r="C44" s="60">
        <f>C8/100</f>
        <v>186.77</v>
      </c>
      <c r="D44" s="60">
        <f>E8/100</f>
        <v>0</v>
      </c>
      <c r="E44" s="60">
        <f>MAX(C44:D44,0)</f>
        <v>186.77</v>
      </c>
      <c r="G44" t="str">
        <f>B44</f>
        <v>per 100 referrals</v>
      </c>
      <c r="L44" s="134">
        <v>100</v>
      </c>
      <c r="M44" s="134"/>
      <c r="N44" s="49"/>
      <c r="O44" s="49"/>
      <c r="P44" s="49"/>
      <c r="Q44" s="49"/>
      <c r="S44"/>
      <c r="T44"/>
      <c r="U44"/>
    </row>
    <row r="45" spans="2:21" ht="13.5" customHeight="1" hidden="1">
      <c r="B45" s="88" t="s">
        <v>84</v>
      </c>
      <c r="C45" s="128">
        <f>C11/100</f>
        <v>123.74</v>
      </c>
      <c r="D45" s="128">
        <f>E11/100</f>
        <v>0</v>
      </c>
      <c r="E45" s="60">
        <f>MAX(C45:D45,0)</f>
        <v>123.74</v>
      </c>
      <c r="G45" t="str">
        <f>B45</f>
        <v>per 100 youth petitioned</v>
      </c>
      <c r="L45" s="134">
        <v>100</v>
      </c>
      <c r="M45" s="134"/>
      <c r="N45" s="49"/>
      <c r="O45" s="49"/>
      <c r="P45" s="49"/>
      <c r="Q45" s="49"/>
      <c r="S45"/>
      <c r="T45"/>
      <c r="U45"/>
    </row>
    <row r="46" spans="2:21" ht="13.5" customHeight="1" hidden="1">
      <c r="B46" s="88" t="s">
        <v>187</v>
      </c>
      <c r="C46" s="128">
        <f>C12/100</f>
        <v>33.16</v>
      </c>
      <c r="D46" s="128">
        <f>E12/100</f>
        <v>0</v>
      </c>
      <c r="E46" s="60">
        <f>MAX(C46:D46)</f>
        <v>33.16</v>
      </c>
      <c r="G46" t="str">
        <f>B46</f>
        <v>per 100 youth found delinquent</v>
      </c>
      <c r="L46" s="134">
        <v>100</v>
      </c>
      <c r="M46" s="134"/>
      <c r="N46" s="49"/>
      <c r="O46" s="49"/>
      <c r="P46" s="49"/>
      <c r="Q46" s="49"/>
      <c r="S46"/>
      <c r="T46"/>
      <c r="U46"/>
    </row>
    <row r="47" spans="2:21" ht="13.5" customHeight="1" hidden="1">
      <c r="B47" s="160"/>
      <c r="C47" s="160"/>
      <c r="D47" s="160"/>
      <c r="E47" s="160"/>
      <c r="L47" s="134"/>
      <c r="M47" s="134"/>
      <c r="N47" s="49"/>
      <c r="O47" s="49"/>
      <c r="P47" s="49"/>
      <c r="Q47" s="49"/>
      <c r="S47"/>
      <c r="T47"/>
      <c r="U47"/>
    </row>
    <row r="48" spans="2:21" ht="13.5" customHeight="1" hidden="1">
      <c r="B48" s="128" t="str">
        <f>B42</f>
        <v>per 1000 youth</v>
      </c>
      <c r="C48" s="60">
        <f>C42</f>
        <v>482.993</v>
      </c>
      <c r="D48" s="60">
        <f>D42</f>
        <v>0</v>
      </c>
      <c r="E48" s="60">
        <f>MAX(C48:D48)</f>
        <v>482.993</v>
      </c>
      <c r="G48" t="str">
        <f>G42</f>
        <v>per 1000 youth</v>
      </c>
      <c r="L48" s="2">
        <f>L42</f>
        <v>1000</v>
      </c>
      <c r="M48" s="2"/>
      <c r="N48" s="162"/>
      <c r="O48" s="162"/>
      <c r="P48" s="162"/>
      <c r="Q48" s="162"/>
      <c r="S48"/>
      <c r="T48"/>
      <c r="U48"/>
    </row>
    <row r="49" spans="2:21" ht="13.5" customHeight="1" hidden="1">
      <c r="B49" s="5" t="str">
        <f aca="true" t="shared" si="8" ref="B49:D50">IF(($E43&gt;0),B43,B42)</f>
        <v>per 1000 youth</v>
      </c>
      <c r="C49" s="5">
        <f t="shared" si="8"/>
        <v>482.993</v>
      </c>
      <c r="D49" s="5">
        <f t="shared" si="8"/>
        <v>0</v>
      </c>
      <c r="E49" s="128">
        <f>MAX(C49:D49)</f>
        <v>482.993</v>
      </c>
      <c r="G49" t="str">
        <f>G43</f>
        <v>per 100 arrests</v>
      </c>
      <c r="L49" s="39">
        <f>IF(($E43&gt;0),L43,L42)</f>
        <v>1000</v>
      </c>
      <c r="M49" s="39"/>
      <c r="N49" s="162"/>
      <c r="O49" s="162"/>
      <c r="P49" s="162"/>
      <c r="Q49" s="162"/>
      <c r="S49"/>
      <c r="T49"/>
      <c r="U49"/>
    </row>
    <row r="50" spans="2:21" ht="13.5" customHeight="1" hidden="1">
      <c r="B50" s="5" t="str">
        <f t="shared" si="8"/>
        <v>per 100 referrals</v>
      </c>
      <c r="C50" s="5">
        <f t="shared" si="8"/>
        <v>186.77</v>
      </c>
      <c r="D50" s="5">
        <f t="shared" si="8"/>
        <v>0</v>
      </c>
      <c r="E50" s="128">
        <f>MAX(C50:D50)</f>
        <v>186.77</v>
      </c>
      <c r="G50" t="str">
        <f>G44</f>
        <v>per 100 referrals</v>
      </c>
      <c r="L50" s="39">
        <f>IF(($E44&gt;0),L44,L43)</f>
        <v>100</v>
      </c>
      <c r="M50" s="39"/>
      <c r="N50" s="162"/>
      <c r="O50" s="162"/>
      <c r="P50" s="162"/>
      <c r="Q50" s="162"/>
      <c r="S50"/>
      <c r="T50"/>
      <c r="U50"/>
    </row>
    <row r="51" spans="2:21" ht="13.5" customHeight="1" hidden="1">
      <c r="B51" s="5" t="str">
        <f>IF(($E45&gt;0),B45,B43)</f>
        <v>per 100 youth petitioned</v>
      </c>
      <c r="C51" s="5">
        <f>IF(($E45&gt;0),C45,C44)</f>
        <v>123.74</v>
      </c>
      <c r="D51" s="5">
        <f>IF(($E45&gt;0),D45,D44)</f>
        <v>0</v>
      </c>
      <c r="E51" s="128">
        <f>MAX(C51:D51)</f>
        <v>123.74</v>
      </c>
      <c r="G51" t="str">
        <f>G45</f>
        <v>per 100 youth petitioned</v>
      </c>
      <c r="L51" s="39">
        <f>IF(($E45&gt;0),L45,L44)</f>
        <v>100</v>
      </c>
      <c r="M51" s="39"/>
      <c r="N51" s="49"/>
      <c r="O51" s="49"/>
      <c r="P51" s="49"/>
      <c r="Q51" s="49"/>
      <c r="S51"/>
      <c r="T51"/>
      <c r="U51"/>
    </row>
    <row r="52" spans="2:21" ht="13.5" customHeight="1" hidden="1">
      <c r="B52" s="128" t="str">
        <f>IF(($E46&gt;0),B46,B45)</f>
        <v>per 100 youth found delinquent</v>
      </c>
      <c r="C52" s="128">
        <f>IF(($E46&gt;0),C46,C45)</f>
        <v>33.16</v>
      </c>
      <c r="D52" s="128">
        <f>IF(($E46&gt;0),D46,D45)</f>
        <v>0</v>
      </c>
      <c r="E52" s="60">
        <f>MAX(C52:D52)</f>
        <v>33.16</v>
      </c>
      <c r="G52" t="str">
        <f>G46</f>
        <v>per 100 youth found delinquent</v>
      </c>
      <c r="L52" s="39">
        <f>IF(($E46&gt;0),L46,L45)</f>
        <v>100</v>
      </c>
      <c r="M52" s="39"/>
      <c r="N52" s="49"/>
      <c r="O52" s="49"/>
      <c r="P52" s="49"/>
      <c r="Q52" s="49"/>
      <c r="S52"/>
      <c r="T52"/>
      <c r="U52"/>
    </row>
    <row r="53" spans="2:21" ht="13.5" customHeight="1" hidden="1">
      <c r="B53" s="5"/>
      <c r="C53" s="128"/>
      <c r="D53" s="128"/>
      <c r="E53" s="128"/>
      <c r="L53" s="134"/>
      <c r="M53" s="134"/>
      <c r="N53" s="49"/>
      <c r="O53" s="49"/>
      <c r="P53" s="49"/>
      <c r="Q53" s="49"/>
      <c r="S53"/>
      <c r="T53"/>
      <c r="U53"/>
    </row>
    <row r="54" spans="2:21" ht="13.5" customHeight="1" hidden="1">
      <c r="B54" s="128" t="str">
        <f>B48</f>
        <v>per 1000 youth</v>
      </c>
      <c r="C54" s="60">
        <f>C48</f>
        <v>482.993</v>
      </c>
      <c r="D54" s="60">
        <f>D48</f>
        <v>0</v>
      </c>
      <c r="E54" s="60">
        <f>MAX(C54:D54)</f>
        <v>482.993</v>
      </c>
      <c r="G54" t="str">
        <f>G48</f>
        <v>per 1000 youth</v>
      </c>
      <c r="L54" s="2">
        <f>L48</f>
        <v>1000</v>
      </c>
      <c r="M54" s="2"/>
      <c r="N54" s="49"/>
      <c r="O54" s="49"/>
      <c r="P54" s="49"/>
      <c r="Q54" s="49"/>
      <c r="S54"/>
      <c r="T54"/>
      <c r="U54"/>
    </row>
    <row r="55" spans="2:21" ht="13.5" customHeight="1" hidden="1">
      <c r="B55" s="5" t="str">
        <f aca="true" t="shared" si="9" ref="B55:D56">IF(($E49&gt;0),B49,B48)</f>
        <v>per 1000 youth</v>
      </c>
      <c r="C55" s="5">
        <f t="shared" si="9"/>
        <v>482.993</v>
      </c>
      <c r="D55" s="5">
        <f t="shared" si="9"/>
        <v>0</v>
      </c>
      <c r="E55" s="128">
        <f>MAX(C55:D55)</f>
        <v>482.993</v>
      </c>
      <c r="G55" t="str">
        <f>G49</f>
        <v>per 100 arrests</v>
      </c>
      <c r="L55" s="39">
        <f>IF(($E49&gt;0),L49,L48)</f>
        <v>1000</v>
      </c>
      <c r="M55" s="39"/>
      <c r="N55" s="49"/>
      <c r="O55" s="49"/>
      <c r="P55" s="49"/>
      <c r="Q55" s="49"/>
      <c r="S55"/>
      <c r="T55"/>
      <c r="U55"/>
    </row>
    <row r="56" spans="2:21" ht="13.5" customHeight="1" hidden="1">
      <c r="B56" s="5" t="str">
        <f t="shared" si="9"/>
        <v>per 100 referrals</v>
      </c>
      <c r="C56" s="5">
        <f t="shared" si="9"/>
        <v>186.77</v>
      </c>
      <c r="D56" s="5">
        <f t="shared" si="9"/>
        <v>0</v>
      </c>
      <c r="E56" s="128">
        <f>MAX(C56:D56)</f>
        <v>186.77</v>
      </c>
      <c r="G56" t="str">
        <f>G50</f>
        <v>per 100 referrals</v>
      </c>
      <c r="L56" s="39">
        <f>IF(($E50&gt;0),L50,L49)</f>
        <v>100</v>
      </c>
      <c r="M56" s="39"/>
      <c r="N56" s="49"/>
      <c r="O56" s="49"/>
      <c r="P56" s="49"/>
      <c r="Q56" s="49"/>
      <c r="S56"/>
      <c r="T56"/>
      <c r="U56"/>
    </row>
    <row r="57" spans="2:21" ht="13.5" customHeight="1" hidden="1">
      <c r="B57" s="5" t="str">
        <f>IF(($E51&gt;0),B51,B49)</f>
        <v>per 100 youth petitioned</v>
      </c>
      <c r="C57" s="5">
        <f>IF(($E51&gt;0),C51,C50)</f>
        <v>123.74</v>
      </c>
      <c r="D57" s="5">
        <f>IF(($E51&gt;0),D51,D50)</f>
        <v>0</v>
      </c>
      <c r="E57" s="128">
        <f>MAX(C57:D57)</f>
        <v>123.74</v>
      </c>
      <c r="G57" t="str">
        <f>G51</f>
        <v>per 100 youth petitioned</v>
      </c>
      <c r="L57" s="39">
        <f>IF(($E51&gt;0),L51,L50)</f>
        <v>100</v>
      </c>
      <c r="M57" s="39"/>
      <c r="N57" s="49"/>
      <c r="O57" s="49"/>
      <c r="P57" s="49"/>
      <c r="Q57" s="49"/>
      <c r="S57"/>
      <c r="T57"/>
      <c r="U57"/>
    </row>
    <row r="58" spans="2:21" ht="13.5" customHeight="1" hidden="1">
      <c r="B58" s="128" t="str">
        <f>IF(($E52&gt;0),B52,B51)</f>
        <v>per 100 youth found delinquent</v>
      </c>
      <c r="C58" s="128">
        <f>IF(($E52&gt;0),C52,C51)</f>
        <v>33.16</v>
      </c>
      <c r="D58" s="128">
        <f>IF(($E52&gt;0),D52,D51)</f>
        <v>0</v>
      </c>
      <c r="E58" s="60">
        <f>MAX(C58:D58)</f>
        <v>33.16</v>
      </c>
      <c r="G58" t="str">
        <f>G52</f>
        <v>per 100 youth found delinquent</v>
      </c>
      <c r="L58" s="2">
        <f>IF(($E52&gt;0),L52,L51)</f>
        <v>100</v>
      </c>
      <c r="M58" s="2"/>
      <c r="N58" s="49"/>
      <c r="O58" s="49"/>
      <c r="P58" s="49"/>
      <c r="Q58" s="49"/>
      <c r="S58"/>
      <c r="T58"/>
      <c r="U58"/>
    </row>
    <row r="59" spans="2:21" ht="13.5" customHeight="1" hidden="1">
      <c r="B59" s="128"/>
      <c r="C59" s="128"/>
      <c r="D59" s="128"/>
      <c r="E59" s="128"/>
      <c r="L59" s="134"/>
      <c r="M59" s="134"/>
      <c r="N59" s="49"/>
      <c r="O59" s="49"/>
      <c r="P59" s="49"/>
      <c r="Q59" s="49"/>
      <c r="S59"/>
      <c r="T59"/>
      <c r="U59"/>
    </row>
    <row r="60" spans="2:21" ht="13.5" customHeight="1" hidden="1">
      <c r="B60" s="128" t="str">
        <f>B54</f>
        <v>per 1000 youth</v>
      </c>
      <c r="C60" s="60">
        <f>C54</f>
        <v>482.993</v>
      </c>
      <c r="D60" s="60">
        <f>D54</f>
        <v>0</v>
      </c>
      <c r="E60" s="60">
        <f>MAX(C60:D60)</f>
        <v>482.993</v>
      </c>
      <c r="G60" t="str">
        <f>G54</f>
        <v>per 1000 youth</v>
      </c>
      <c r="L60" s="2">
        <f>L54</f>
        <v>1000</v>
      </c>
      <c r="M60" s="2"/>
      <c r="N60" s="49"/>
      <c r="O60" s="49"/>
      <c r="P60" s="49"/>
      <c r="Q60" s="49"/>
      <c r="S60"/>
      <c r="T60"/>
      <c r="U60"/>
    </row>
    <row r="61" spans="2:21" ht="13.5" customHeight="1" hidden="1">
      <c r="B61" s="5" t="str">
        <f aca="true" t="shared" si="10" ref="B61:D62">IF(($E55&gt;0),B55,B54)</f>
        <v>per 1000 youth</v>
      </c>
      <c r="C61" s="5">
        <f t="shared" si="10"/>
        <v>482.993</v>
      </c>
      <c r="D61" s="5">
        <f t="shared" si="10"/>
        <v>0</v>
      </c>
      <c r="E61" s="128">
        <f>MAX(C61:D61)</f>
        <v>482.993</v>
      </c>
      <c r="G61" t="str">
        <f>G55</f>
        <v>per 100 arrests</v>
      </c>
      <c r="L61" s="39">
        <f>IF(($E55&gt;0),L55,L54)</f>
        <v>1000</v>
      </c>
      <c r="M61" s="39"/>
      <c r="N61" s="49"/>
      <c r="O61" s="49"/>
      <c r="P61" s="49"/>
      <c r="Q61" s="49"/>
      <c r="S61"/>
      <c r="T61"/>
      <c r="U61"/>
    </row>
    <row r="62" spans="2:21" ht="13.5" customHeight="1" hidden="1">
      <c r="B62" s="5" t="str">
        <f t="shared" si="10"/>
        <v>per 100 referrals</v>
      </c>
      <c r="C62" s="5">
        <f t="shared" si="10"/>
        <v>186.77</v>
      </c>
      <c r="D62" s="5">
        <f t="shared" si="10"/>
        <v>0</v>
      </c>
      <c r="E62" s="128">
        <f>MAX(C62:D62)</f>
        <v>186.77</v>
      </c>
      <c r="G62" t="str">
        <f>G56</f>
        <v>per 100 referrals</v>
      </c>
      <c r="L62" s="39">
        <f>IF(($E56&gt;0),L56,L55)</f>
        <v>100</v>
      </c>
      <c r="M62" s="39"/>
      <c r="N62" s="49"/>
      <c r="O62" s="49"/>
      <c r="P62" s="49"/>
      <c r="Q62" s="49"/>
      <c r="S62"/>
      <c r="T62"/>
      <c r="U62"/>
    </row>
    <row r="63" spans="2:21" ht="13.5" customHeight="1" hidden="1">
      <c r="B63" s="5" t="str">
        <f>IF(($E57&gt;0),B57,B55)</f>
        <v>per 100 youth petitioned</v>
      </c>
      <c r="C63" s="5">
        <f>IF(($E57&gt;0),C57,C56)</f>
        <v>123.74</v>
      </c>
      <c r="D63" s="5">
        <f>IF(($E57&gt;0),D57,D56)</f>
        <v>0</v>
      </c>
      <c r="E63" s="128">
        <f>MAX(C63:D63)</f>
        <v>123.74</v>
      </c>
      <c r="G63" t="str">
        <f>G57</f>
        <v>per 100 youth petitioned</v>
      </c>
      <c r="L63" s="39">
        <f>IF(($E57&gt;0),L57,L56)</f>
        <v>100</v>
      </c>
      <c r="M63" s="39"/>
      <c r="N63" s="49"/>
      <c r="O63" s="49"/>
      <c r="P63" s="49"/>
      <c r="Q63" s="49"/>
      <c r="S63"/>
      <c r="T63"/>
      <c r="U63"/>
    </row>
    <row r="64" spans="2:21" ht="13.5" customHeight="1" hidden="1">
      <c r="B64" s="128" t="str">
        <f>IF(($E58&gt;0),B58,B57)</f>
        <v>per 100 youth found delinquent</v>
      </c>
      <c r="C64" s="128">
        <f>IF(($E58&gt;0),C58,C57)</f>
        <v>33.16</v>
      </c>
      <c r="D64" s="128">
        <f>IF(($E58&gt;0),D58,D57)</f>
        <v>0</v>
      </c>
      <c r="E64" s="60">
        <f>MAX(C64:D64)</f>
        <v>33.16</v>
      </c>
      <c r="G64" t="str">
        <f>G58</f>
        <v>per 100 youth found delinquent</v>
      </c>
      <c r="L64" s="2">
        <f>IF(($E58&gt;0),L58,L57)</f>
        <v>100</v>
      </c>
      <c r="M64" s="2"/>
      <c r="N64" s="49"/>
      <c r="O64" s="49"/>
      <c r="P64" s="49"/>
      <c r="Q64" s="49"/>
      <c r="S64"/>
      <c r="T64"/>
      <c r="U64"/>
    </row>
    <row r="65" spans="2:21" ht="13.5" customHeight="1" hidden="1">
      <c r="B65" s="171" t="s">
        <v>224</v>
      </c>
      <c r="L65" s="134"/>
      <c r="M65" s="134"/>
      <c r="N65" s="49"/>
      <c r="O65" s="49"/>
      <c r="P65" s="49"/>
      <c r="Q65" s="49"/>
      <c r="S65"/>
      <c r="T65"/>
      <c r="U65"/>
    </row>
    <row r="66" spans="2:21" ht="13.5" customHeight="1" hidden="1">
      <c r="B66" s="128" t="str">
        <f>B60</f>
        <v>per 1000 youth</v>
      </c>
      <c r="C66" s="60">
        <f>C60</f>
        <v>482.993</v>
      </c>
      <c r="D66" s="60">
        <f>D60</f>
        <v>0</v>
      </c>
      <c r="E66" s="60">
        <f>MAX(C66:D66)</f>
        <v>482.993</v>
      </c>
      <c r="G66" t="str">
        <f>G60</f>
        <v>per 1000 youth</v>
      </c>
      <c r="L66" s="2">
        <f>L60</f>
        <v>1000</v>
      </c>
      <c r="M66" s="2">
        <f>IF((B66=G66),1,2)</f>
        <v>1</v>
      </c>
      <c r="N66" s="49"/>
      <c r="O66" s="49"/>
      <c r="P66" s="49"/>
      <c r="Q66" s="49"/>
      <c r="S66"/>
      <c r="T66"/>
      <c r="U66"/>
    </row>
    <row r="67" spans="2:21" ht="13.5" customHeight="1" hidden="1">
      <c r="B67" s="5" t="str">
        <f aca="true" t="shared" si="11" ref="B67:D68">IF(($E61&gt;0),B61,B60)</f>
        <v>per 1000 youth</v>
      </c>
      <c r="C67" s="5">
        <f t="shared" si="11"/>
        <v>482.993</v>
      </c>
      <c r="D67" s="5">
        <f t="shared" si="11"/>
        <v>0</v>
      </c>
      <c r="E67" s="128">
        <f>MAX(C67:D67)</f>
        <v>482.993</v>
      </c>
      <c r="G67" t="str">
        <f>G61</f>
        <v>per 100 arrests</v>
      </c>
      <c r="L67" s="39">
        <f>IF(($E61&gt;0),L61,L60)</f>
        <v>1000</v>
      </c>
      <c r="M67" s="2">
        <f>IF((B67=G67),1,2)</f>
        <v>2</v>
      </c>
      <c r="N67" s="49"/>
      <c r="O67" s="49"/>
      <c r="P67" s="49"/>
      <c r="Q67" s="49"/>
      <c r="S67"/>
      <c r="T67"/>
      <c r="U67"/>
    </row>
    <row r="68" spans="2:21" ht="13.5" customHeight="1" hidden="1">
      <c r="B68" s="5" t="str">
        <f t="shared" si="11"/>
        <v>per 100 referrals</v>
      </c>
      <c r="C68" s="5">
        <f t="shared" si="11"/>
        <v>186.77</v>
      </c>
      <c r="D68" s="5">
        <f t="shared" si="11"/>
        <v>0</v>
      </c>
      <c r="E68" s="128">
        <f>MAX(C68:D68)</f>
        <v>186.77</v>
      </c>
      <c r="G68" t="str">
        <f>G62</f>
        <v>per 100 referrals</v>
      </c>
      <c r="L68" s="39">
        <f>IF(($E62&gt;0),L62,L61)</f>
        <v>100</v>
      </c>
      <c r="M68" s="2">
        <f>IF((B68=G68),1,2)</f>
        <v>1</v>
      </c>
      <c r="N68" s="49"/>
      <c r="O68" s="49"/>
      <c r="P68" s="49"/>
      <c r="Q68" s="49"/>
      <c r="S68"/>
      <c r="T68"/>
      <c r="U68"/>
    </row>
    <row r="69" spans="2:21" ht="13.5" customHeight="1" hidden="1">
      <c r="B69" s="5" t="str">
        <f>IF(($E63&gt;0),B63,B61)</f>
        <v>per 100 youth petitioned</v>
      </c>
      <c r="C69" s="5">
        <f>IF(($E63&gt;0),C63,C62)</f>
        <v>123.74</v>
      </c>
      <c r="D69" s="5">
        <f>IF(($E63&gt;0),D63,D62)</f>
        <v>0</v>
      </c>
      <c r="E69" s="128">
        <f>MAX(C69:D69)</f>
        <v>123.74</v>
      </c>
      <c r="G69" t="str">
        <f>G63</f>
        <v>per 100 youth petitioned</v>
      </c>
      <c r="L69" s="39">
        <f>IF(($E63&gt;0),L63,L62)</f>
        <v>100</v>
      </c>
      <c r="M69" s="2">
        <f>IF((B69=G69),1,2)</f>
        <v>1</v>
      </c>
      <c r="N69" s="49"/>
      <c r="O69" s="49"/>
      <c r="P69" s="49"/>
      <c r="Q69" s="49"/>
      <c r="S69"/>
      <c r="T69"/>
      <c r="U69"/>
    </row>
    <row r="70" spans="2:21" ht="13.5" customHeight="1" hidden="1">
      <c r="B70" s="128" t="str">
        <f>IF(($E64&gt;0),B64,B63)</f>
        <v>per 100 youth found delinquent</v>
      </c>
      <c r="C70" s="128">
        <f>IF(($E64&gt;0),C64,C63)</f>
        <v>33.16</v>
      </c>
      <c r="D70" s="128">
        <f>IF(($E64&gt;0),D64,D63)</f>
        <v>0</v>
      </c>
      <c r="E70" s="60">
        <f>MAX(C70:D70)</f>
        <v>33.16</v>
      </c>
      <c r="G70" t="str">
        <f>G64</f>
        <v>per 100 youth found delinquent</v>
      </c>
      <c r="L70" s="2">
        <f>IF(($E64&gt;0),L64,L63)</f>
        <v>100</v>
      </c>
      <c r="M70" s="2">
        <f>IF((B70=G70),1,2)</f>
        <v>1</v>
      </c>
      <c r="N70" s="49"/>
      <c r="O70" s="49"/>
      <c r="P70" s="49"/>
      <c r="Q70" s="49"/>
      <c r="S70"/>
      <c r="T70"/>
      <c r="U70"/>
    </row>
    <row r="71" spans="14:21" ht="13.5" customHeight="1" hidden="1">
      <c r="N71" s="49"/>
      <c r="O71" s="49"/>
      <c r="P71" s="49"/>
      <c r="Q71" s="49"/>
      <c r="S71"/>
      <c r="T71"/>
      <c r="U71"/>
    </row>
    <row r="72" spans="14:21" ht="13.5" customHeight="1" hidden="1">
      <c r="N72" s="49"/>
      <c r="O72" s="49"/>
      <c r="P72" s="49"/>
      <c r="Q72" s="49"/>
      <c r="S72"/>
      <c r="T72"/>
      <c r="U72"/>
    </row>
    <row r="73" spans="14:21" ht="13.5" customHeight="1" hidden="1">
      <c r="N73" s="49"/>
      <c r="O73" s="49"/>
      <c r="P73" s="49"/>
      <c r="Q73" s="49"/>
      <c r="S73"/>
      <c r="T73"/>
      <c r="U73"/>
    </row>
    <row r="74" spans="14:21" ht="13.5" customHeight="1" hidden="1">
      <c r="N74" s="49"/>
      <c r="O74" s="49"/>
      <c r="P74" s="49"/>
      <c r="Q74" s="49"/>
      <c r="S74"/>
      <c r="T74"/>
      <c r="U74"/>
    </row>
    <row r="75" ht="13.5" customHeight="1" hidden="1"/>
    <row r="76" ht="13.5" customHeight="1" hidden="1"/>
    <row r="77" ht="13.5" customHeight="1" hidden="1"/>
    <row r="78" ht="13.5" customHeight="1" hidden="1"/>
    <row r="79" ht="13.5" customHeight="1" hidden="1"/>
    <row r="80" ht="13.5" customHeight="1" hidden="1"/>
    <row r="81" ht="13.5" customHeight="1" hidden="1"/>
    <row r="82" ht="13.5" customHeight="1" hidden="1">
      <c r="B82" s="92"/>
    </row>
    <row r="83" ht="13.5" customHeight="1" hidden="1">
      <c r="B83" s="31"/>
    </row>
    <row r="84" ht="13.5" customHeight="1" hidden="1"/>
    <row r="85" ht="13.5" customHeight="1" hidden="1"/>
    <row r="86" ht="13.5" customHeight="1" hidden="1"/>
    <row r="87" ht="13.5" customHeight="1" hidden="1"/>
    <row r="88" ht="13.5" customHeight="1" hidden="1"/>
    <row r="89" ht="13.5" customHeight="1" hidden="1"/>
    <row r="90" ht="13.5" customHeight="1" hidden="1"/>
  </sheetData>
  <mergeCells count="5">
    <mergeCell ref="B40:J40"/>
    <mergeCell ref="C2:D2"/>
    <mergeCell ref="C3:D3"/>
    <mergeCell ref="R1:U4"/>
    <mergeCell ref="N2:Q4"/>
  </mergeCells>
  <conditionalFormatting sqref="G7:G15">
    <cfRule type="expression" priority="1" dxfId="0" stopIfTrue="1">
      <formula>$L7=1</formula>
    </cfRule>
    <cfRule type="expression" priority="2" dxfId="1" stopIfTrue="1">
      <formula>$L7=2</formula>
    </cfRule>
    <cfRule type="expression" priority="3" dxfId="2" stopIfTrue="1">
      <formula>$L7&gt;3</formula>
    </cfRule>
  </conditionalFormatting>
  <conditionalFormatting sqref="F27">
    <cfRule type="expression" priority="4" dxfId="3" stopIfTrue="1">
      <formula>M66=2</formula>
    </cfRule>
  </conditionalFormatting>
  <conditionalFormatting sqref="F28">
    <cfRule type="expression" priority="5" dxfId="0" stopIfTrue="1">
      <formula>M67=2</formula>
    </cfRule>
  </conditionalFormatting>
  <conditionalFormatting sqref="F29">
    <cfRule type="expression" priority="6" dxfId="0" stopIfTrue="1">
      <formula>M68=2</formula>
    </cfRule>
  </conditionalFormatting>
  <conditionalFormatting sqref="F30">
    <cfRule type="expression" priority="7" dxfId="0" stopIfTrue="1">
      <formula>M68=2</formula>
    </cfRule>
  </conditionalFormatting>
  <conditionalFormatting sqref="F31">
    <cfRule type="expression" priority="8" dxfId="0" stopIfTrue="1">
      <formula>M68=2</formula>
    </cfRule>
  </conditionalFormatting>
  <conditionalFormatting sqref="F32:F33">
    <cfRule type="expression" priority="9" dxfId="0" stopIfTrue="1">
      <formula>M69=2</formula>
    </cfRule>
  </conditionalFormatting>
  <conditionalFormatting sqref="F34">
    <cfRule type="expression" priority="10" dxfId="0" stopIfTrue="1">
      <formula>M70=2</formula>
    </cfRule>
  </conditionalFormatting>
  <conditionalFormatting sqref="F35">
    <cfRule type="expression" priority="11" dxfId="0" stopIfTrue="1">
      <formula>M69=2</formula>
    </cfRule>
  </conditionalFormatting>
  <conditionalFormatting sqref="B86">
    <cfRule type="expression" priority="12" dxfId="0" stopIfTrue="1">
      <formula>$D$83=2</formula>
    </cfRule>
  </conditionalFormatting>
  <printOptions/>
  <pageMargins left="0.53" right="0.42" top="0.75" bottom="0.5" header="0" footer="0"/>
  <pageSetup horizontalDpi="300" verticalDpi="300" orientation="portrait"/>
</worksheet>
</file>

<file path=xl/worksheets/sheet7.xml><?xml version="1.0" encoding="utf-8"?>
<worksheet xmlns="http://schemas.openxmlformats.org/spreadsheetml/2006/main" xmlns:r="http://schemas.openxmlformats.org/officeDocument/2006/relationships">
  <dimension ref="B1:W83"/>
  <sheetViews>
    <sheetView showGridLines="0" showRowColHeaders="0" zoomScale="95" zoomScaleNormal="95" workbookViewId="0" topLeftCell="A1">
      <selection activeCell="B3" sqref="B3"/>
    </sheetView>
  </sheetViews>
  <sheetFormatPr defaultColWidth="9.140625" defaultRowHeight="15"/>
  <cols>
    <col min="1" max="1" width="2.57421875" style="0" customWidth="1"/>
    <col min="2" max="2" width="45.7109375" style="0" customWidth="1"/>
    <col min="3" max="3" width="10.57421875" style="0" hidden="1" customWidth="1"/>
    <col min="4" max="4" width="15.7109375" style="0" customWidth="1"/>
    <col min="5" max="5" width="15.7109375" style="0" hidden="1" customWidth="1"/>
    <col min="6" max="6" width="16.421875" style="0" customWidth="1"/>
    <col min="7" max="7" width="15.7109375" style="0" customWidth="1"/>
    <col min="8" max="8" width="8.00390625" style="0" hidden="1" customWidth="1"/>
    <col min="9" max="9" width="7.8515625" style="0" hidden="1" customWidth="1"/>
    <col min="10" max="10" width="8.00390625" style="0" hidden="1" customWidth="1"/>
    <col min="11" max="11" width="8.8515625" style="0" hidden="1" customWidth="1"/>
    <col min="12" max="13" width="9.140625" style="0" hidden="1" customWidth="1"/>
    <col min="14" max="14" width="9.8515625" style="0" hidden="1" customWidth="1"/>
    <col min="15" max="15" width="7.8515625" style="0" hidden="1" customWidth="1"/>
    <col min="16" max="16" width="10.00390625" style="0" hidden="1" customWidth="1"/>
    <col min="17" max="18" width="8.8515625" style="0" hidden="1" customWidth="1"/>
    <col min="19" max="20" width="12.57421875" style="28" hidden="1" customWidth="1"/>
    <col min="21" max="21" width="12.00390625" style="40" hidden="1" customWidth="1"/>
    <col min="22" max="22" width="9.140625" style="0" hidden="1" customWidth="1"/>
    <col min="23" max="23" width="9.140625" style="0" customWidth="1"/>
    <col min="24" max="27" width="8.8515625" style="0" customWidth="1"/>
  </cols>
  <sheetData>
    <row r="1" spans="2:21" ht="27.75" customHeight="1">
      <c r="B1" s="38" t="s">
        <v>218</v>
      </c>
      <c r="F1" s="120" t="s">
        <v>126</v>
      </c>
      <c r="G1" s="122" t="str">
        <f>'Data Entry'!H5</f>
        <v>American Indian or Alaska Native</v>
      </c>
      <c r="H1" s="47"/>
      <c r="I1" s="47"/>
      <c r="J1" s="47"/>
      <c r="K1" s="160"/>
      <c r="N1" s="162"/>
      <c r="O1" s="162"/>
      <c r="P1" s="162"/>
      <c r="Q1" s="162"/>
      <c r="R1" s="56" t="s">
        <v>200</v>
      </c>
      <c r="S1" s="56"/>
      <c r="T1" s="56"/>
      <c r="U1" s="56"/>
    </row>
    <row r="2" spans="2:21" ht="13.5" customHeight="1">
      <c r="B2" s="164" t="str">
        <f>'Data Entry'!A2</f>
        <v>State : Virginia</v>
      </c>
      <c r="C2" s="135" t="str">
        <f>'Data Entry'!C3</f>
        <v> Reporting Period  7/1/2012</v>
      </c>
      <c r="D2" s="119"/>
      <c r="H2" s="32"/>
      <c r="I2" s="32"/>
      <c r="N2" s="166" t="s">
        <v>42</v>
      </c>
      <c r="O2" s="160"/>
      <c r="P2" s="160"/>
      <c r="Q2" s="160"/>
      <c r="R2" s="56"/>
      <c r="S2" s="56"/>
      <c r="T2" s="56"/>
      <c r="U2" s="56"/>
    </row>
    <row r="3" spans="2:21" ht="13.5" customHeight="1">
      <c r="B3" s="164" t="str">
        <f>'Data Entry'!A3</f>
        <v>County : Statewide</v>
      </c>
      <c r="C3" s="85" t="str">
        <f>'Data Entry'!C4</f>
        <v>through  6/30/2013</v>
      </c>
      <c r="D3" s="119"/>
      <c r="E3" s="102"/>
      <c r="F3" s="48" t="s">
        <v>197</v>
      </c>
      <c r="G3" s="48" t="str">
        <f>'Data Entry'!$K$5</f>
        <v>White</v>
      </c>
      <c r="H3" s="33"/>
      <c r="I3" s="33"/>
      <c r="J3" s="33"/>
      <c r="K3" s="33"/>
      <c r="N3" s="160"/>
      <c r="O3" s="160"/>
      <c r="P3" s="160"/>
      <c r="Q3" s="160"/>
      <c r="R3" s="56"/>
      <c r="S3" s="56"/>
      <c r="T3" s="56"/>
      <c r="U3" s="56"/>
    </row>
    <row r="4" spans="2:21" ht="8.25" customHeight="1">
      <c r="B4" s="130"/>
      <c r="C4" s="154"/>
      <c r="D4" s="154"/>
      <c r="E4" s="154"/>
      <c r="F4" s="154"/>
      <c r="G4" s="66"/>
      <c r="H4" s="66"/>
      <c r="I4" s="66"/>
      <c r="J4" s="8"/>
      <c r="K4" s="8"/>
      <c r="N4" s="160"/>
      <c r="O4" s="160"/>
      <c r="P4" s="160"/>
      <c r="Q4" s="160"/>
      <c r="R4" s="56"/>
      <c r="S4" s="56"/>
      <c r="T4" s="56"/>
      <c r="U4" s="56"/>
    </row>
    <row r="5" spans="2:23" ht="66.75" customHeight="1" thickBot="1">
      <c r="B5" s="107" t="s">
        <v>1</v>
      </c>
      <c r="C5" s="20" t="s">
        <v>236</v>
      </c>
      <c r="D5" s="161" t="s">
        <v>189</v>
      </c>
      <c r="E5" s="20" t="s">
        <v>148</v>
      </c>
      <c r="F5" s="20" t="s">
        <v>136</v>
      </c>
      <c r="G5" s="93" t="s">
        <v>98</v>
      </c>
      <c r="H5" s="80"/>
      <c r="I5" s="80"/>
      <c r="J5" s="108" t="s">
        <v>191</v>
      </c>
      <c r="K5" s="73" t="s">
        <v>154</v>
      </c>
      <c r="L5" s="160" t="s">
        <v>70</v>
      </c>
      <c r="M5" s="160" t="s">
        <v>203</v>
      </c>
      <c r="N5" s="153" t="s">
        <v>107</v>
      </c>
      <c r="O5" s="162" t="s">
        <v>125</v>
      </c>
      <c r="P5" s="162" t="s">
        <v>213</v>
      </c>
      <c r="Q5" s="162" t="s">
        <v>227</v>
      </c>
      <c r="R5" t="s">
        <v>32</v>
      </c>
      <c r="S5" s="160" t="s">
        <v>63</v>
      </c>
      <c r="T5" t="s">
        <v>226</v>
      </c>
      <c r="U5" t="s">
        <v>127</v>
      </c>
      <c r="W5" s="160"/>
    </row>
    <row r="6" spans="2:21" ht="20.25" customHeight="1" thickBot="1">
      <c r="B6" s="115" t="str">
        <f>'Data Entry'!A6</f>
        <v>1. Population at risk (age 10  through 17 ) </v>
      </c>
      <c r="C6" s="159">
        <f>'Data Entry'!K6</f>
        <v>482993</v>
      </c>
      <c r="D6" s="156"/>
      <c r="E6" s="159">
        <f>'Data Entry'!H6</f>
        <v>2097</v>
      </c>
      <c r="F6" s="156"/>
      <c r="G6" s="84"/>
      <c r="H6" s="16"/>
      <c r="I6" s="78"/>
      <c r="J6" s="57"/>
      <c r="K6" s="127"/>
      <c r="L6">
        <f>IF(('Data Entry'!H6&gt;('Data Entry'!B6/100)),1,100)</f>
        <v>100</v>
      </c>
      <c r="M6" t="s">
        <v>81</v>
      </c>
      <c r="N6" s="162"/>
      <c r="O6" s="162"/>
      <c r="P6" s="162"/>
      <c r="Q6" s="162"/>
      <c r="S6"/>
      <c r="T6"/>
      <c r="U6"/>
    </row>
    <row r="7" spans="2:21" ht="18" customHeight="1" thickBot="1">
      <c r="B7" s="115" t="str">
        <f>'Data Entry'!A7</f>
        <v>2. Juvenile Arrests </v>
      </c>
      <c r="C7" s="159">
        <f>'Data Entry'!K7</f>
        <v>0</v>
      </c>
      <c r="D7" s="68">
        <f>IF((AND(C66&gt;0,C7&gt;0)),(C7/C66),0)</f>
        <v>0</v>
      </c>
      <c r="E7" s="159">
        <f>'Data Entry'!H7</f>
        <v>0</v>
      </c>
      <c r="F7" s="68">
        <f>IF((AND($E$7&gt;0,$D$66&gt;0)),($E$7/$D$66),0)</f>
        <v>0</v>
      </c>
      <c r="G7" s="138" t="str">
        <f aca="true" t="shared" si="0" ref="G7:G15">IF(L$6=100,"*",IF(M7=FALSE,"--",IF(K7=20,"**",($F7/$D7))))</f>
        <v>*</v>
      </c>
      <c r="H7" s="55"/>
      <c r="I7" s="64"/>
      <c r="J7" s="23">
        <f>IF((ABS($U7)&gt;Defaults!D$7),1,2)</f>
        <v>2</v>
      </c>
      <c r="K7" s="15">
        <f>IF((AND(N7&gt;Defaults!B$12,(N7+O7)&gt;Defaults!B$13,P7&gt;Defaults!B$12,(P7+Q7)&gt;Defaults!B$13)),1,20)</f>
        <v>20</v>
      </c>
      <c r="L7">
        <f aca="true" t="shared" si="1" ref="L7:L15">(J7*K7+L$6)-1</f>
        <v>139</v>
      </c>
      <c r="M7" t="b">
        <f aca="true" t="shared" si="2" ref="M7:M15">(ISNUMBER(J7))</f>
        <v>1</v>
      </c>
      <c r="N7" s="123">
        <f aca="true" t="shared" si="3" ref="N7:N15">E7</f>
        <v>0</v>
      </c>
      <c r="O7" s="123">
        <f>E6-E7</f>
        <v>2097</v>
      </c>
      <c r="P7" s="123">
        <f aca="true" t="shared" si="4" ref="P7:P15">C7</f>
        <v>0</v>
      </c>
      <c r="Q7" s="123">
        <f>C6-C7</f>
        <v>482993</v>
      </c>
      <c r="R7">
        <f>0.05+(D7*(D66))</f>
        <v>0.05</v>
      </c>
      <c r="S7">
        <f aca="true" t="shared" si="5" ref="S7:S15">ROUND(R7-E7,0)</f>
        <v>0</v>
      </c>
      <c r="T7">
        <f aca="true" t="shared" si="6" ref="T7:T15">S7^2</f>
        <v>0</v>
      </c>
      <c r="U7">
        <f aca="true" t="shared" si="7" ref="U7:U15">T7/R7</f>
        <v>0</v>
      </c>
    </row>
    <row r="8" spans="2:21" ht="18" customHeight="1" thickBot="1">
      <c r="B8" s="115" t="str">
        <f>'Data Entry'!A8</f>
        <v>3. Refer to Juvenile Court</v>
      </c>
      <c r="C8" s="159">
        <f>'Data Entry'!K8</f>
        <v>18677</v>
      </c>
      <c r="D8" s="68">
        <f>IF((AND(C67&gt;0,C8&gt;0)),(C8/C67),0)</f>
        <v>38.669297484642634</v>
      </c>
      <c r="E8" s="159">
        <f>'Data Entry'!H8</f>
        <v>31</v>
      </c>
      <c r="F8" s="68">
        <f>IF((AND($E$8&gt;0,$D$67&gt;0)),($E8/$D67),0)</f>
        <v>14.783023366714353</v>
      </c>
      <c r="G8" s="138" t="str">
        <f t="shared" si="0"/>
        <v>*</v>
      </c>
      <c r="H8" s="55"/>
      <c r="I8" s="64"/>
      <c r="J8" s="23">
        <f>IF((ABS($U8)&gt;Defaults!D$7),1,2)</f>
        <v>1</v>
      </c>
      <c r="K8" s="15">
        <f>IF((AND(N8&gt;Defaults!B$12,(N8+O8)&gt;Defaults!B$13,P8&gt;Defaults!B$12,(P8+Q8)&gt;Defaults!B$13)),1,20)</f>
        <v>1</v>
      </c>
      <c r="L8">
        <f t="shared" si="1"/>
        <v>100</v>
      </c>
      <c r="M8" t="b">
        <f t="shared" si="2"/>
        <v>1</v>
      </c>
      <c r="N8" s="123">
        <f t="shared" si="3"/>
        <v>31</v>
      </c>
      <c r="O8" s="123">
        <f>((D67*L67)-E8)+0.05</f>
        <v>2066.05</v>
      </c>
      <c r="P8" s="123">
        <f t="shared" si="4"/>
        <v>18677</v>
      </c>
      <c r="Q8" s="123">
        <f>(C$67*L67)-C8</f>
        <v>464316</v>
      </c>
      <c r="R8">
        <f>D8*D67+0.05</f>
        <v>81.1395168252956</v>
      </c>
      <c r="S8">
        <f t="shared" si="5"/>
        <v>50</v>
      </c>
      <c r="T8">
        <f t="shared" si="6"/>
        <v>2500</v>
      </c>
      <c r="U8">
        <f t="shared" si="7"/>
        <v>30.811127522275484</v>
      </c>
    </row>
    <row r="9" spans="2:21" ht="18" customHeight="1" thickBot="1">
      <c r="B9" s="115" t="str">
        <f>'Data Entry'!A9</f>
        <v>4. Cases Diverted </v>
      </c>
      <c r="C9" s="159">
        <f>'Data Entry'!K9</f>
        <v>2998</v>
      </c>
      <c r="D9" s="68">
        <f>IF((AND(C68&gt;0,C9&gt;0)),((C9/C68)),0)</f>
        <v>16.051828452106868</v>
      </c>
      <c r="E9" s="159">
        <f>'Data Entry'!H9</f>
        <v>5</v>
      </c>
      <c r="F9" s="68">
        <f>IF((AND($E$9&gt;0,$D$68&gt;0)),(($E$9/$D$68)),0)</f>
        <v>16.129032258064516</v>
      </c>
      <c r="G9" s="138" t="str">
        <f t="shared" si="0"/>
        <v>*</v>
      </c>
      <c r="H9" s="55"/>
      <c r="I9" s="64"/>
      <c r="J9" s="23">
        <f>IF((ABS($U9)&gt;Defaults!D$7),1,2)</f>
        <v>2</v>
      </c>
      <c r="K9" s="15">
        <f>IF((AND(N9&gt;Defaults!B$12,(N9+O9)&gt;Defaults!B$13,P9&gt;Defaults!B$12,(P9+Q9)&gt;Defaults!B$13)),1,20)</f>
        <v>20</v>
      </c>
      <c r="L9">
        <f t="shared" si="1"/>
        <v>139</v>
      </c>
      <c r="M9" t="b">
        <f t="shared" si="2"/>
        <v>1</v>
      </c>
      <c r="N9" s="123">
        <f t="shared" si="3"/>
        <v>5</v>
      </c>
      <c r="O9" s="123">
        <f>(D$68*L68)-E9</f>
        <v>26</v>
      </c>
      <c r="P9" s="123">
        <f t="shared" si="4"/>
        <v>2998</v>
      </c>
      <c r="Q9" s="123">
        <f>(C$68*L68)-C9</f>
        <v>15679</v>
      </c>
      <c r="R9">
        <f>D9*D68+0.05</f>
        <v>5.026066820153129</v>
      </c>
      <c r="S9">
        <f t="shared" si="5"/>
        <v>0</v>
      </c>
      <c r="T9">
        <f t="shared" si="6"/>
        <v>0</v>
      </c>
      <c r="U9">
        <f t="shared" si="7"/>
        <v>0</v>
      </c>
    </row>
    <row r="10" spans="2:21" ht="18" customHeight="1" thickBot="1">
      <c r="B10" s="115" t="str">
        <f>'Data Entry'!A10</f>
        <v>5. Cases Involving Secure Detention</v>
      </c>
      <c r="C10" s="159">
        <f>'Data Entry'!K10</f>
        <v>2398</v>
      </c>
      <c r="D10" s="68">
        <f>IF(((AND(C68&gt;0,C10&gt;0))),(C10/(C68)),0)</f>
        <v>12.83932109011083</v>
      </c>
      <c r="E10" s="159">
        <f>'Data Entry'!H10</f>
        <v>2</v>
      </c>
      <c r="F10" s="68">
        <f>IF(((AND($E$10&gt;0,$D$68&gt;0))),($E$10/($D$68)),0)</f>
        <v>6.451612903225807</v>
      </c>
      <c r="G10" s="138" t="str">
        <f t="shared" si="0"/>
        <v>*</v>
      </c>
      <c r="H10" s="55"/>
      <c r="I10" s="64"/>
      <c r="J10" s="23">
        <f>IF((ABS($U10)&gt;Defaults!D$7),1,2)</f>
        <v>2</v>
      </c>
      <c r="K10" s="15">
        <f>IF((AND(N10&gt;Defaults!B$12,(N10+O10)&gt;Defaults!B$13,P10&gt;Defaults!B$12,(P10+Q10)&gt;Defaults!B$13)),1,20)</f>
        <v>20</v>
      </c>
      <c r="L10">
        <f t="shared" si="1"/>
        <v>139</v>
      </c>
      <c r="M10" t="b">
        <f t="shared" si="2"/>
        <v>1</v>
      </c>
      <c r="N10" s="123">
        <f t="shared" si="3"/>
        <v>2</v>
      </c>
      <c r="O10" s="123">
        <f>(D$68*L68)-E10</f>
        <v>29</v>
      </c>
      <c r="P10" s="123">
        <f t="shared" si="4"/>
        <v>2398</v>
      </c>
      <c r="Q10" s="123">
        <f>(C$68*L68)-C10</f>
        <v>16279</v>
      </c>
      <c r="R10">
        <f>D10*D68+0.05</f>
        <v>4.0301895379343575</v>
      </c>
      <c r="S10">
        <f t="shared" si="5"/>
        <v>2</v>
      </c>
      <c r="T10">
        <f t="shared" si="6"/>
        <v>4</v>
      </c>
      <c r="U10">
        <f t="shared" si="7"/>
        <v>0.9925091518276753</v>
      </c>
    </row>
    <row r="11" spans="2:21" ht="18" customHeight="1" thickBot="1">
      <c r="B11" s="115" t="str">
        <f>'Data Entry'!A11</f>
        <v>6. Cases Petitioned (Charge Filed)</v>
      </c>
      <c r="C11" s="159">
        <f>'Data Entry'!K11</f>
        <v>12374</v>
      </c>
      <c r="D11" s="68">
        <f>IF(((AND(C68&gt;0,C11&gt;0))),(C11/(C68)),0)</f>
        <v>66.25261016223162</v>
      </c>
      <c r="E11" s="159">
        <f>'Data Entry'!H11</f>
        <v>20</v>
      </c>
      <c r="F11" s="68">
        <f>IF(((AND($E$11&gt;0,$D$68&gt;0))),($E$11/($D$68)),0)</f>
        <v>64.51612903225806</v>
      </c>
      <c r="G11" s="138" t="str">
        <f t="shared" si="0"/>
        <v>*</v>
      </c>
      <c r="H11" s="55"/>
      <c r="I11" s="64"/>
      <c r="J11" s="23">
        <f>IF((ABS($U11)&gt;Defaults!D$7),1,2)</f>
        <v>2</v>
      </c>
      <c r="K11" s="15">
        <f>IF((AND(N11&gt;Defaults!B$12,(N11+O11)&gt;Defaults!B$13,P11&gt;Defaults!B$12,(P11+Q11)&gt;Defaults!B$13)),1,20)</f>
        <v>1</v>
      </c>
      <c r="L11">
        <f t="shared" si="1"/>
        <v>101</v>
      </c>
      <c r="M11" t="b">
        <f t="shared" si="2"/>
        <v>1</v>
      </c>
      <c r="N11" s="123">
        <f t="shared" si="3"/>
        <v>20</v>
      </c>
      <c r="O11" s="123">
        <f>(D$68*L68)-E11</f>
        <v>11</v>
      </c>
      <c r="P11" s="123">
        <f t="shared" si="4"/>
        <v>12374</v>
      </c>
      <c r="Q11" s="123">
        <f>(C$68*L68)-C11</f>
        <v>6303</v>
      </c>
      <c r="R11">
        <f>D11*D68+0.05</f>
        <v>20.588309150291803</v>
      </c>
      <c r="S11">
        <f t="shared" si="5"/>
        <v>1</v>
      </c>
      <c r="T11">
        <f t="shared" si="6"/>
        <v>1</v>
      </c>
      <c r="U11">
        <f t="shared" si="7"/>
        <v>0.04857125433177337</v>
      </c>
    </row>
    <row r="12" spans="2:21" ht="18" customHeight="1" thickBot="1">
      <c r="B12" s="115" t="str">
        <f>'Data Entry'!A12</f>
        <v>7. Cases Resulting in Delinquent Findings</v>
      </c>
      <c r="C12" s="159">
        <f>'Data Entry'!K12</f>
        <v>3316</v>
      </c>
      <c r="D12" s="68">
        <f>IF(((AND(C69&gt;0,C12&gt;0))),(C12/(C69)),0)</f>
        <v>26.798125101018265</v>
      </c>
      <c r="E12" s="159">
        <f>'Data Entry'!H12</f>
        <v>4</v>
      </c>
      <c r="F12" s="68">
        <f>IF(((AND($D$69&gt;0,$E$12&gt;0))),(E12/(D69)),0)</f>
        <v>20</v>
      </c>
      <c r="G12" s="138" t="str">
        <f t="shared" si="0"/>
        <v>*</v>
      </c>
      <c r="H12" s="55"/>
      <c r="I12" s="64"/>
      <c r="J12" s="23">
        <f>IF((ABS($U12)&gt;Defaults!D$7),1,2)</f>
        <v>2</v>
      </c>
      <c r="K12" s="15">
        <f>IF((AND(N12&gt;Defaults!B$12,(N12+O12)&gt;Defaults!B$13,P12&gt;Defaults!B$12,(P12+Q12)&gt;Defaults!B$13)),1,20)</f>
        <v>20</v>
      </c>
      <c r="L12">
        <f t="shared" si="1"/>
        <v>139</v>
      </c>
      <c r="M12" t="b">
        <f t="shared" si="2"/>
        <v>1</v>
      </c>
      <c r="N12" s="123">
        <f t="shared" si="3"/>
        <v>4</v>
      </c>
      <c r="O12" s="123">
        <f>(D69*L69)-E12</f>
        <v>16</v>
      </c>
      <c r="P12" s="123">
        <f t="shared" si="4"/>
        <v>3316</v>
      </c>
      <c r="Q12" s="123">
        <f>(C69*L69)-C12</f>
        <v>9058</v>
      </c>
      <c r="R12">
        <f>D12*D69+0.05</f>
        <v>5.409625020203653</v>
      </c>
      <c r="S12">
        <f t="shared" si="5"/>
        <v>1</v>
      </c>
      <c r="T12">
        <f t="shared" si="6"/>
        <v>1</v>
      </c>
      <c r="U12">
        <f t="shared" si="7"/>
        <v>0.18485569633112084</v>
      </c>
    </row>
    <row r="13" spans="2:21" ht="18" customHeight="1" thickBot="1">
      <c r="B13" s="115" t="str">
        <f>'Data Entry'!A13</f>
        <v>8. Cases resulting in Probation Placement</v>
      </c>
      <c r="C13" s="159">
        <f>'Data Entry'!K13</f>
        <v>2032</v>
      </c>
      <c r="D13" s="68">
        <f>IF(((AND(C70&gt;0,C13&gt;0))),(C13/(C70)),0)</f>
        <v>61.27864897466828</v>
      </c>
      <c r="E13" s="159">
        <f>'Data Entry'!H13</f>
        <v>5</v>
      </c>
      <c r="F13" s="68">
        <f>IF(((AND($D$70&gt;0,$E$13&gt;0))),($E$13/($D$70)),0)</f>
        <v>125</v>
      </c>
      <c r="G13" s="138" t="str">
        <f t="shared" si="0"/>
        <v>*</v>
      </c>
      <c r="H13" s="55"/>
      <c r="I13" s="64"/>
      <c r="J13" s="23">
        <f>IF((ABS($U13)&gt;Defaults!D$7),1,2)</f>
        <v>2</v>
      </c>
      <c r="K13" s="15">
        <f>IF((AND(N13&gt;Defaults!B$12,(N13+O13)&gt;Defaults!B$13,P13&gt;Defaults!B$12,(P13+Q13)&gt;Defaults!B$13)),1,20)</f>
        <v>20</v>
      </c>
      <c r="L13">
        <f t="shared" si="1"/>
        <v>139</v>
      </c>
      <c r="M13" t="b">
        <f t="shared" si="2"/>
        <v>1</v>
      </c>
      <c r="N13" s="123">
        <f t="shared" si="3"/>
        <v>5</v>
      </c>
      <c r="O13" s="123">
        <f>(D70*L70)-E13</f>
        <v>-1</v>
      </c>
      <c r="P13" s="123">
        <f t="shared" si="4"/>
        <v>2032</v>
      </c>
      <c r="Q13" s="123">
        <f>(C70*L70)-C13</f>
        <v>1283.9999999999995</v>
      </c>
      <c r="R13">
        <f>D13*D70+0.05</f>
        <v>2.501145958986731</v>
      </c>
      <c r="S13">
        <f t="shared" si="5"/>
        <v>-2</v>
      </c>
      <c r="T13">
        <f t="shared" si="6"/>
        <v>4</v>
      </c>
      <c r="U13">
        <f t="shared" si="7"/>
        <v>1.599266922279293</v>
      </c>
    </row>
    <row r="14" spans="2:21" ht="30.75" thickBot="1">
      <c r="B14" s="115" t="str">
        <f>'Data Entry'!A14</f>
        <v>9. Cases Resulting in Confinement in Secure    Juvenile Correctional Facilities </v>
      </c>
      <c r="C14" s="159">
        <f>'Data Entry'!K14</f>
        <v>121</v>
      </c>
      <c r="D14" s="68">
        <f>IF(((AND(C70&gt;0,C14&gt;0))),((C14/(C70))),0)</f>
        <v>3.6489746682750304</v>
      </c>
      <c r="E14" s="159">
        <f>'Data Entry'!H14</f>
        <v>0</v>
      </c>
      <c r="F14" s="68">
        <f>IF(((AND($D$70&gt;0,$E$14&gt;0))),(($E$14/($D$70))),0)</f>
        <v>0</v>
      </c>
      <c r="G14" s="138" t="str">
        <f t="shared" si="0"/>
        <v>*</v>
      </c>
      <c r="H14" s="55"/>
      <c r="I14" s="64"/>
      <c r="J14" s="23">
        <f>IF((ABS($U14)&gt;Defaults!D$7),1,2)</f>
        <v>2</v>
      </c>
      <c r="K14" s="15">
        <f>IF((AND(N14&gt;Defaults!B$12,(N14+O14)&gt;Defaults!B$13,P14&gt;Defaults!B$12,(P14+Q14)&gt;Defaults!B$13)),1,20)</f>
        <v>20</v>
      </c>
      <c r="L14">
        <f t="shared" si="1"/>
        <v>139</v>
      </c>
      <c r="M14" t="b">
        <f t="shared" si="2"/>
        <v>1</v>
      </c>
      <c r="N14" s="123">
        <f t="shared" si="3"/>
        <v>0</v>
      </c>
      <c r="O14" s="123">
        <f>(D70*L70)-E14</f>
        <v>4</v>
      </c>
      <c r="P14" s="123">
        <f t="shared" si="4"/>
        <v>121</v>
      </c>
      <c r="Q14" s="123">
        <f>(C70*L70)-C14</f>
        <v>3194.9999999999995</v>
      </c>
      <c r="R14">
        <f>D14*D70+0.05</f>
        <v>0.1959589867310012</v>
      </c>
      <c r="S14">
        <f t="shared" si="5"/>
        <v>0</v>
      </c>
      <c r="T14">
        <f t="shared" si="6"/>
        <v>0</v>
      </c>
      <c r="U14">
        <f t="shared" si="7"/>
        <v>0</v>
      </c>
    </row>
    <row r="15" spans="2:21" ht="15.75" thickBot="1">
      <c r="B15" s="115" t="str">
        <f>'Data Entry'!A15</f>
        <v>10. Cases Transferred to Adult Court </v>
      </c>
      <c r="C15" s="159">
        <f>'Data Entry'!K15</f>
        <v>0</v>
      </c>
      <c r="D15" s="68">
        <f>IF(((AND(C69&gt;0,C15&gt;0))),((C15/(C69))),0)</f>
        <v>0</v>
      </c>
      <c r="E15" s="159">
        <f>'Data Entry'!H15</f>
        <v>0</v>
      </c>
      <c r="F15" s="68">
        <f>IF(((AND($D$69&gt;0,$E$15&gt;0))),(($E$15/($D$69))),0)</f>
        <v>0</v>
      </c>
      <c r="G15" s="138" t="str">
        <f t="shared" si="0"/>
        <v>*</v>
      </c>
      <c r="H15" s="55"/>
      <c r="I15" s="64"/>
      <c r="J15" s="23">
        <f>IF((ABS($U15)&gt;Defaults!D$7),1,2)</f>
        <v>2</v>
      </c>
      <c r="K15" s="15">
        <f>IF((AND(N15&gt;Defaults!B$12,(N15+O15)&gt;Defaults!B$13,P15&gt;Defaults!B$12,(P15+Q15)&gt;Defaults!B$13)),1,20)</f>
        <v>20</v>
      </c>
      <c r="L15">
        <f t="shared" si="1"/>
        <v>139</v>
      </c>
      <c r="M15" t="b">
        <f t="shared" si="2"/>
        <v>1</v>
      </c>
      <c r="N15" s="123">
        <f t="shared" si="3"/>
        <v>0</v>
      </c>
      <c r="O15" s="123">
        <f>(D69*L69)-E15</f>
        <v>20</v>
      </c>
      <c r="P15" s="123">
        <f t="shared" si="4"/>
        <v>0</v>
      </c>
      <c r="Q15" s="123">
        <f>(C69*L69)-C15</f>
        <v>12374</v>
      </c>
      <c r="R15">
        <f>D15*D69+0.05</f>
        <v>0.05</v>
      </c>
      <c r="S15">
        <f t="shared" si="5"/>
        <v>0</v>
      </c>
      <c r="T15">
        <f t="shared" si="6"/>
        <v>0</v>
      </c>
      <c r="U15">
        <f t="shared" si="7"/>
        <v>0</v>
      </c>
    </row>
    <row r="16" spans="2:21" ht="12" customHeight="1">
      <c r="B16" s="103" t="s">
        <v>40</v>
      </c>
      <c r="C16" s="63"/>
      <c r="D16" s="63"/>
      <c r="E16" s="63"/>
      <c r="F16" s="63"/>
      <c r="G16" s="63"/>
      <c r="H16" s="63"/>
      <c r="I16" s="63"/>
      <c r="N16" s="162"/>
      <c r="O16" s="162"/>
      <c r="P16" s="162"/>
      <c r="Q16" s="162"/>
      <c r="S16"/>
      <c r="T16"/>
      <c r="U16"/>
    </row>
    <row r="17" spans="2:21" ht="26.25" customHeight="1">
      <c r="B17" s="103"/>
      <c r="C17" s="63"/>
      <c r="D17" s="63"/>
      <c r="E17" s="63"/>
      <c r="F17" s="63"/>
      <c r="G17" s="63"/>
      <c r="H17" s="63"/>
      <c r="I17" s="63"/>
      <c r="N17" s="162"/>
      <c r="O17" s="162"/>
      <c r="P17" s="162"/>
      <c r="Q17" s="162"/>
      <c r="S17"/>
      <c r="T17"/>
      <c r="U17"/>
    </row>
    <row r="18" spans="2:21" ht="15">
      <c r="B18" t="s">
        <v>113</v>
      </c>
      <c r="N18" s="49"/>
      <c r="O18" s="49"/>
      <c r="P18" s="49"/>
      <c r="Q18" s="49"/>
      <c r="S18"/>
      <c r="T18"/>
      <c r="U18"/>
    </row>
    <row r="19" spans="2:21" ht="15">
      <c r="B19" t="s">
        <v>151</v>
      </c>
      <c r="D19" s="61" t="s">
        <v>118</v>
      </c>
      <c r="N19" s="49"/>
      <c r="O19" s="49"/>
      <c r="P19" s="49"/>
      <c r="Q19" s="49"/>
      <c r="S19"/>
      <c r="T19"/>
      <c r="U19"/>
    </row>
    <row r="20" spans="2:21" ht="15">
      <c r="B20" t="s">
        <v>34</v>
      </c>
      <c r="D20" t="s">
        <v>57</v>
      </c>
      <c r="N20" s="49"/>
      <c r="O20" s="49"/>
      <c r="P20" s="49"/>
      <c r="Q20" s="49"/>
      <c r="S20"/>
      <c r="T20"/>
      <c r="U20"/>
    </row>
    <row r="21" spans="2:21" ht="15">
      <c r="B21" t="s">
        <v>199</v>
      </c>
      <c r="D21" t="s">
        <v>195</v>
      </c>
      <c r="N21" s="49"/>
      <c r="O21" s="49"/>
      <c r="P21" s="49"/>
      <c r="Q21" s="49"/>
      <c r="S21"/>
      <c r="T21"/>
      <c r="U21"/>
    </row>
    <row r="22" spans="2:21" ht="15">
      <c r="B22" t="s">
        <v>103</v>
      </c>
      <c r="D22" t="s">
        <v>214</v>
      </c>
      <c r="N22" s="49"/>
      <c r="O22" s="49"/>
      <c r="P22" s="49"/>
      <c r="Q22" s="49"/>
      <c r="S22"/>
      <c r="T22"/>
      <c r="U22"/>
    </row>
    <row r="23" spans="2:21" ht="15">
      <c r="B23" t="s">
        <v>129</v>
      </c>
      <c r="D23" s="163" t="s">
        <v>180</v>
      </c>
      <c r="K23" t="s">
        <v>70</v>
      </c>
      <c r="N23" s="49"/>
      <c r="O23" s="49"/>
      <c r="P23" s="49"/>
      <c r="Q23" s="49"/>
      <c r="S23"/>
      <c r="T23"/>
      <c r="U23"/>
    </row>
    <row r="24" spans="2:21" ht="26.25" customHeight="1">
      <c r="B24" s="103"/>
      <c r="C24" s="63"/>
      <c r="D24" s="63"/>
      <c r="E24" s="63"/>
      <c r="F24" s="63"/>
      <c r="G24" s="63"/>
      <c r="H24" s="63"/>
      <c r="I24" s="63"/>
      <c r="N24" s="162"/>
      <c r="O24" s="162"/>
      <c r="P24" s="162"/>
      <c r="Q24" s="162"/>
      <c r="S24"/>
      <c r="T24"/>
      <c r="U24"/>
    </row>
    <row r="25" spans="2:21" ht="15">
      <c r="B25" s="117" t="s">
        <v>96</v>
      </c>
      <c r="K25" t="s">
        <v>198</v>
      </c>
      <c r="L25" t="s">
        <v>2</v>
      </c>
      <c r="N25" s="162"/>
      <c r="O25" s="162" t="b">
        <f>ISBLANK(N12)</f>
        <v>0</v>
      </c>
      <c r="P25" s="162"/>
      <c r="Q25" s="162"/>
      <c r="S25"/>
      <c r="T25"/>
      <c r="U25"/>
    </row>
    <row r="26" spans="2:21" ht="15" customHeight="1">
      <c r="B26" s="95" t="s">
        <v>78</v>
      </c>
      <c r="C26" s="142"/>
      <c r="D26" s="142"/>
      <c r="E26" s="142"/>
      <c r="F26" s="95" t="s">
        <v>207</v>
      </c>
      <c r="G26" s="95"/>
      <c r="H26" s="95"/>
      <c r="I26" s="95"/>
      <c r="J26" s="95"/>
      <c r="K26" s="157" t="s">
        <v>180</v>
      </c>
      <c r="L26" s="97" t="s">
        <v>217</v>
      </c>
      <c r="M26" s="97"/>
      <c r="N26" s="49"/>
      <c r="O26" s="49"/>
      <c r="P26" s="49"/>
      <c r="Q26" s="49"/>
      <c r="S26"/>
      <c r="T26"/>
      <c r="U26"/>
    </row>
    <row r="27" spans="2:21" ht="15" customHeight="1">
      <c r="B27" s="6" t="s">
        <v>9</v>
      </c>
      <c r="C27" s="6"/>
      <c r="D27" s="6"/>
      <c r="E27" s="6"/>
      <c r="F27" s="6" t="str">
        <f>B66</f>
        <v>per 1000 youth</v>
      </c>
      <c r="G27" s="6"/>
      <c r="H27" s="6"/>
      <c r="I27" s="6"/>
      <c r="J27" s="6">
        <f>F66</f>
        <v>0</v>
      </c>
      <c r="K27" s="6" t="s">
        <v>214</v>
      </c>
      <c r="L27" s="54" t="s">
        <v>161</v>
      </c>
      <c r="M27" s="142"/>
      <c r="N27" s="49"/>
      <c r="O27" s="49"/>
      <c r="P27" s="49"/>
      <c r="Q27" s="49"/>
      <c r="S27"/>
      <c r="T27"/>
      <c r="U27"/>
    </row>
    <row r="28" spans="2:21" ht="15" customHeight="1">
      <c r="B28" s="6" t="s">
        <v>94</v>
      </c>
      <c r="C28" s="6"/>
      <c r="D28" s="6"/>
      <c r="E28" s="6"/>
      <c r="F28" s="89" t="str">
        <f>B67</f>
        <v>per 1000 youth</v>
      </c>
      <c r="G28" s="89"/>
      <c r="H28" s="89"/>
      <c r="I28" s="89"/>
      <c r="J28" s="89"/>
      <c r="K28" s="89" t="s">
        <v>195</v>
      </c>
      <c r="L28" s="104" t="s">
        <v>26</v>
      </c>
      <c r="M28" s="142"/>
      <c r="N28" s="49"/>
      <c r="O28" s="49"/>
      <c r="P28" s="49"/>
      <c r="Q28" s="49"/>
      <c r="S28"/>
      <c r="T28"/>
      <c r="U28"/>
    </row>
    <row r="29" spans="2:21" ht="15" customHeight="1">
      <c r="B29" s="89" t="s">
        <v>158</v>
      </c>
      <c r="C29" s="89"/>
      <c r="D29" s="89"/>
      <c r="E29" s="89"/>
      <c r="F29" s="89" t="str">
        <f>B68</f>
        <v>per 100 referrals</v>
      </c>
      <c r="G29" s="89"/>
      <c r="H29" s="89"/>
      <c r="I29" s="89"/>
      <c r="J29" s="89"/>
      <c r="K29" s="89"/>
      <c r="L29" s="104"/>
      <c r="M29" s="142"/>
      <c r="N29" s="49"/>
      <c r="O29" s="49"/>
      <c r="P29" s="49"/>
      <c r="Q29" s="49"/>
      <c r="S29"/>
      <c r="T29"/>
      <c r="U29"/>
    </row>
    <row r="30" spans="2:21" ht="15" customHeight="1">
      <c r="B30" s="89" t="s">
        <v>48</v>
      </c>
      <c r="C30" s="89"/>
      <c r="D30" s="89"/>
      <c r="E30" s="89"/>
      <c r="F30" s="89" t="str">
        <f>B68</f>
        <v>per 100 referrals</v>
      </c>
      <c r="G30" s="89"/>
      <c r="H30" s="89"/>
      <c r="I30" s="89"/>
      <c r="J30" s="89"/>
      <c r="K30" s="89"/>
      <c r="L30" s="104"/>
      <c r="M30" s="142"/>
      <c r="N30" s="49" t="b">
        <f>ISNUMBER(J14)</f>
        <v>1</v>
      </c>
      <c r="O30" s="49"/>
      <c r="P30" s="49"/>
      <c r="Q30" s="49"/>
      <c r="S30"/>
      <c r="T30"/>
      <c r="U30"/>
    </row>
    <row r="31" spans="2:21" ht="15" customHeight="1">
      <c r="B31" s="89" t="s">
        <v>20</v>
      </c>
      <c r="C31" s="89"/>
      <c r="D31" s="89"/>
      <c r="E31" s="89"/>
      <c r="F31" s="89" t="str">
        <f>B68</f>
        <v>per 100 referrals</v>
      </c>
      <c r="G31" s="89"/>
      <c r="H31" s="89"/>
      <c r="I31" s="89"/>
      <c r="J31" s="89"/>
      <c r="K31" s="89"/>
      <c r="L31" s="104"/>
      <c r="M31" s="142"/>
      <c r="N31" s="49"/>
      <c r="O31" s="49"/>
      <c r="P31" s="49"/>
      <c r="Q31" s="49"/>
      <c r="S31"/>
      <c r="T31"/>
      <c r="U31"/>
    </row>
    <row r="32" spans="2:21" ht="15" customHeight="1">
      <c r="B32" s="89" t="s">
        <v>41</v>
      </c>
      <c r="C32" s="89"/>
      <c r="D32" s="89"/>
      <c r="E32" s="89"/>
      <c r="F32" s="89" t="str">
        <f>B69</f>
        <v>per 100 youth petitioned</v>
      </c>
      <c r="G32" s="89"/>
      <c r="H32" s="89"/>
      <c r="I32" s="89"/>
      <c r="J32" s="89"/>
      <c r="K32" s="89"/>
      <c r="L32" s="104"/>
      <c r="M32" s="142"/>
      <c r="N32" s="49"/>
      <c r="O32" s="49"/>
      <c r="P32" s="49"/>
      <c r="Q32" s="49"/>
      <c r="S32"/>
      <c r="T32"/>
      <c r="U32"/>
    </row>
    <row r="33" spans="2:21" ht="15" customHeight="1">
      <c r="B33" s="89" t="s">
        <v>111</v>
      </c>
      <c r="C33" s="89"/>
      <c r="D33" s="89"/>
      <c r="E33" s="89"/>
      <c r="F33" s="89" t="str">
        <f>B70</f>
        <v>per 100 youth found delinquent</v>
      </c>
      <c r="G33" s="89"/>
      <c r="H33" s="89"/>
      <c r="I33" s="89"/>
      <c r="J33" s="89"/>
      <c r="K33" s="89"/>
      <c r="L33" s="104"/>
      <c r="M33" s="142"/>
      <c r="N33" s="49"/>
      <c r="O33" s="49"/>
      <c r="P33" s="49"/>
      <c r="Q33" s="49"/>
      <c r="S33"/>
      <c r="T33"/>
      <c r="U33"/>
    </row>
    <row r="34" spans="2:21" ht="15" customHeight="1">
      <c r="B34" s="89" t="s">
        <v>64</v>
      </c>
      <c r="C34" s="89"/>
      <c r="D34" s="89"/>
      <c r="E34" s="89"/>
      <c r="F34" s="89" t="str">
        <f>B70</f>
        <v>per 100 youth found delinquent</v>
      </c>
      <c r="G34" s="89"/>
      <c r="H34" s="89"/>
      <c r="I34" s="89"/>
      <c r="J34" s="89"/>
      <c r="K34" s="89"/>
      <c r="L34" s="104"/>
      <c r="M34" s="142"/>
      <c r="N34" s="49"/>
      <c r="O34" s="49"/>
      <c r="P34" s="49"/>
      <c r="Q34" s="49"/>
      <c r="S34"/>
      <c r="T34"/>
      <c r="U34"/>
    </row>
    <row r="35" spans="2:21" ht="15" customHeight="1">
      <c r="B35" s="89" t="s">
        <v>74</v>
      </c>
      <c r="C35" s="89"/>
      <c r="D35" s="89"/>
      <c r="E35" s="89"/>
      <c r="F35" s="89" t="str">
        <f>B69</f>
        <v>per 100 youth petitioned</v>
      </c>
      <c r="G35" s="89"/>
      <c r="H35" s="89"/>
      <c r="I35" s="89"/>
      <c r="J35" s="89"/>
      <c r="K35" s="89"/>
      <c r="L35" s="104"/>
      <c r="M35" s="142"/>
      <c r="N35" s="49"/>
      <c r="O35" s="49"/>
      <c r="P35" s="49"/>
      <c r="Q35" s="49"/>
      <c r="S35"/>
      <c r="T35"/>
      <c r="U35"/>
    </row>
    <row r="36" spans="10:21" ht="15" customHeight="1">
      <c r="J36" s="142"/>
      <c r="K36" s="142"/>
      <c r="L36" s="142"/>
      <c r="M36" s="142"/>
      <c r="N36" s="49"/>
      <c r="O36" s="49"/>
      <c r="P36" s="49"/>
      <c r="Q36" s="49"/>
      <c r="S36"/>
      <c r="T36"/>
      <c r="U36"/>
    </row>
    <row r="37" spans="14:21" ht="13.5" customHeight="1" hidden="1">
      <c r="N37" s="49"/>
      <c r="O37" s="49"/>
      <c r="P37" s="49"/>
      <c r="Q37" s="49"/>
      <c r="S37"/>
      <c r="T37"/>
      <c r="U37"/>
    </row>
    <row r="38" spans="14:21" ht="13.5" customHeight="1" hidden="1">
      <c r="N38" s="49"/>
      <c r="O38" s="49"/>
      <c r="P38" s="49"/>
      <c r="Q38" s="49"/>
      <c r="S38"/>
      <c r="T38"/>
      <c r="U38"/>
    </row>
    <row r="39" spans="14:21" ht="13.5" customHeight="1" hidden="1">
      <c r="N39" s="49"/>
      <c r="O39" s="49"/>
      <c r="P39" s="49"/>
      <c r="Q39" s="49"/>
      <c r="S39"/>
      <c r="T39"/>
      <c r="U39"/>
    </row>
    <row r="40" spans="2:21" ht="30.75" customHeight="1" hidden="1">
      <c r="B40" s="50" t="s">
        <v>65</v>
      </c>
      <c r="C40" s="160"/>
      <c r="D40" s="160"/>
      <c r="E40" s="160"/>
      <c r="F40" s="160"/>
      <c r="G40" s="160"/>
      <c r="H40" s="160"/>
      <c r="I40" s="160"/>
      <c r="J40" s="160"/>
      <c r="K40" s="160"/>
      <c r="N40" s="49"/>
      <c r="O40" s="49"/>
      <c r="P40" s="49"/>
      <c r="Q40" s="49"/>
      <c r="S40"/>
      <c r="T40"/>
      <c r="U40"/>
    </row>
    <row r="41" spans="2:21" ht="13.5" customHeight="1" hidden="1">
      <c r="B41" s="124" t="s">
        <v>52</v>
      </c>
      <c r="C41" s="83" t="s">
        <v>206</v>
      </c>
      <c r="D41" s="148" t="s">
        <v>15</v>
      </c>
      <c r="E41" s="83" t="s">
        <v>99</v>
      </c>
      <c r="G41" s="83" t="s">
        <v>117</v>
      </c>
      <c r="H41" s="83"/>
      <c r="I41" s="83"/>
      <c r="L41" t="s">
        <v>230</v>
      </c>
      <c r="N41" s="49"/>
      <c r="O41" s="49"/>
      <c r="P41" s="49"/>
      <c r="Q41" s="49"/>
      <c r="S41"/>
      <c r="T41"/>
      <c r="U41"/>
    </row>
    <row r="42" spans="2:21" ht="13.5" customHeight="1" hidden="1">
      <c r="B42" s="5" t="s">
        <v>170</v>
      </c>
      <c r="C42" s="60">
        <f>C6/1000</f>
        <v>482.993</v>
      </c>
      <c r="D42" s="60">
        <f>E6/1000</f>
        <v>2.097</v>
      </c>
      <c r="E42" s="60">
        <f>MAX(C42:D42)</f>
        <v>482.993</v>
      </c>
      <c r="G42" t="str">
        <f>B42</f>
        <v>per 1000 youth</v>
      </c>
      <c r="L42" s="134">
        <v>1000</v>
      </c>
      <c r="M42" s="134"/>
      <c r="N42" s="49"/>
      <c r="O42" s="49"/>
      <c r="P42" s="49"/>
      <c r="Q42" s="49"/>
      <c r="S42"/>
      <c r="T42"/>
      <c r="U42"/>
    </row>
    <row r="43" spans="2:21" ht="13.5" customHeight="1" hidden="1">
      <c r="B43" s="5" t="s">
        <v>167</v>
      </c>
      <c r="C43" s="60">
        <f>C7/100</f>
        <v>0</v>
      </c>
      <c r="D43" s="60">
        <f>E7/100</f>
        <v>0</v>
      </c>
      <c r="E43" s="60">
        <f>MAX(C43:D43,0)</f>
        <v>0</v>
      </c>
      <c r="G43" t="str">
        <f>B43</f>
        <v>per 100 arrests</v>
      </c>
      <c r="L43" s="134">
        <v>100</v>
      </c>
      <c r="M43" s="134"/>
      <c r="N43" s="49"/>
      <c r="O43" s="49"/>
      <c r="P43" s="49"/>
      <c r="Q43" s="49"/>
      <c r="S43"/>
      <c r="T43"/>
      <c r="U43"/>
    </row>
    <row r="44" spans="2:21" ht="13.5" customHeight="1" hidden="1">
      <c r="B44" s="5" t="s">
        <v>95</v>
      </c>
      <c r="C44" s="60">
        <f>C8/100</f>
        <v>186.77</v>
      </c>
      <c r="D44" s="60">
        <f>E8/100</f>
        <v>0.31</v>
      </c>
      <c r="E44" s="60">
        <f>MAX(C44:D44,0)</f>
        <v>186.77</v>
      </c>
      <c r="G44" t="str">
        <f>B44</f>
        <v>per 100 referrals</v>
      </c>
      <c r="L44" s="134">
        <v>100</v>
      </c>
      <c r="M44" s="134"/>
      <c r="N44" s="49"/>
      <c r="O44" s="49"/>
      <c r="P44" s="49"/>
      <c r="Q44" s="49"/>
      <c r="S44"/>
      <c r="T44"/>
      <c r="U44"/>
    </row>
    <row r="45" spans="2:21" ht="13.5" customHeight="1" hidden="1">
      <c r="B45" s="88" t="s">
        <v>84</v>
      </c>
      <c r="C45" s="128">
        <f>C11/100</f>
        <v>123.74</v>
      </c>
      <c r="D45" s="128">
        <f>E11/100</f>
        <v>0.2</v>
      </c>
      <c r="E45" s="60">
        <f>MAX(C45:D45,0)</f>
        <v>123.74</v>
      </c>
      <c r="G45" t="str">
        <f>B45</f>
        <v>per 100 youth petitioned</v>
      </c>
      <c r="L45" s="134">
        <v>100</v>
      </c>
      <c r="M45" s="134"/>
      <c r="N45" s="49"/>
      <c r="O45" s="49"/>
      <c r="P45" s="49"/>
      <c r="Q45" s="49"/>
      <c r="S45"/>
      <c r="T45"/>
      <c r="U45"/>
    </row>
    <row r="46" spans="2:21" ht="13.5" customHeight="1" hidden="1">
      <c r="B46" s="88" t="s">
        <v>187</v>
      </c>
      <c r="C46" s="128">
        <f>C12/100</f>
        <v>33.16</v>
      </c>
      <c r="D46" s="128">
        <f>E12/100</f>
        <v>0.04</v>
      </c>
      <c r="E46" s="60">
        <f>MAX(C46:D46)</f>
        <v>33.16</v>
      </c>
      <c r="G46" t="str">
        <f>B46</f>
        <v>per 100 youth found delinquent</v>
      </c>
      <c r="L46" s="134">
        <v>100</v>
      </c>
      <c r="M46" s="134"/>
      <c r="N46" s="49"/>
      <c r="O46" s="49"/>
      <c r="P46" s="49"/>
      <c r="Q46" s="49"/>
      <c r="S46"/>
      <c r="T46"/>
      <c r="U46"/>
    </row>
    <row r="47" spans="2:21" ht="13.5" customHeight="1" hidden="1">
      <c r="B47" s="160"/>
      <c r="C47" s="160"/>
      <c r="D47" s="160"/>
      <c r="E47" s="160"/>
      <c r="L47" s="134"/>
      <c r="M47" s="134"/>
      <c r="N47" s="49"/>
      <c r="O47" s="49"/>
      <c r="P47" s="49"/>
      <c r="Q47" s="49"/>
      <c r="S47"/>
      <c r="T47"/>
      <c r="U47"/>
    </row>
    <row r="48" spans="2:21" ht="13.5" customHeight="1" hidden="1">
      <c r="B48" s="128" t="str">
        <f>B42</f>
        <v>per 1000 youth</v>
      </c>
      <c r="C48" s="60">
        <f>C42</f>
        <v>482.993</v>
      </c>
      <c r="D48" s="60">
        <f>D42</f>
        <v>2.097</v>
      </c>
      <c r="E48" s="60">
        <f>MAX(C48:D48)</f>
        <v>482.993</v>
      </c>
      <c r="G48" t="str">
        <f>G42</f>
        <v>per 1000 youth</v>
      </c>
      <c r="L48" s="2">
        <f>L42</f>
        <v>1000</v>
      </c>
      <c r="M48" s="2"/>
      <c r="N48" s="162"/>
      <c r="O48" s="162"/>
      <c r="P48" s="162"/>
      <c r="Q48" s="162"/>
      <c r="S48"/>
      <c r="T48"/>
      <c r="U48"/>
    </row>
    <row r="49" spans="2:21" ht="13.5" customHeight="1" hidden="1">
      <c r="B49" s="5" t="str">
        <f aca="true" t="shared" si="8" ref="B49:D50">IF(($E43&gt;0),B43,B42)</f>
        <v>per 1000 youth</v>
      </c>
      <c r="C49" s="5">
        <f t="shared" si="8"/>
        <v>482.993</v>
      </c>
      <c r="D49" s="5">
        <f t="shared" si="8"/>
        <v>2.097</v>
      </c>
      <c r="E49" s="128">
        <f>MAX(C49:D49)</f>
        <v>482.993</v>
      </c>
      <c r="G49" t="str">
        <f>G43</f>
        <v>per 100 arrests</v>
      </c>
      <c r="L49" s="39">
        <f>IF(($E43&gt;0),L43,L42)</f>
        <v>1000</v>
      </c>
      <c r="M49" s="39"/>
      <c r="N49" s="162"/>
      <c r="O49" s="162"/>
      <c r="P49" s="162"/>
      <c r="Q49" s="162"/>
      <c r="S49"/>
      <c r="T49"/>
      <c r="U49"/>
    </row>
    <row r="50" spans="2:21" ht="13.5" customHeight="1" hidden="1">
      <c r="B50" s="5" t="str">
        <f t="shared" si="8"/>
        <v>per 100 referrals</v>
      </c>
      <c r="C50" s="5">
        <f t="shared" si="8"/>
        <v>186.77</v>
      </c>
      <c r="D50" s="5">
        <f t="shared" si="8"/>
        <v>0.31</v>
      </c>
      <c r="E50" s="128">
        <f>MAX(C50:D50)</f>
        <v>186.77</v>
      </c>
      <c r="G50" t="str">
        <f>G44</f>
        <v>per 100 referrals</v>
      </c>
      <c r="L50" s="39">
        <f>IF(($E44&gt;0),L44,L43)</f>
        <v>100</v>
      </c>
      <c r="M50" s="39"/>
      <c r="N50" s="162"/>
      <c r="O50" s="162"/>
      <c r="P50" s="162"/>
      <c r="Q50" s="162"/>
      <c r="S50"/>
      <c r="T50"/>
      <c r="U50"/>
    </row>
    <row r="51" spans="2:21" ht="13.5" customHeight="1" hidden="1">
      <c r="B51" s="5" t="str">
        <f>IF(($E45&gt;0),B45,B43)</f>
        <v>per 100 youth petitioned</v>
      </c>
      <c r="C51" s="5">
        <f>IF(($E45&gt;0),C45,C44)</f>
        <v>123.74</v>
      </c>
      <c r="D51" s="5">
        <f>IF(($E45&gt;0),D45,D44)</f>
        <v>0.2</v>
      </c>
      <c r="E51" s="128">
        <f>MAX(C51:D51)</f>
        <v>123.74</v>
      </c>
      <c r="G51" t="str">
        <f>G45</f>
        <v>per 100 youth petitioned</v>
      </c>
      <c r="L51" s="39">
        <f>IF(($E45&gt;0),L45,L44)</f>
        <v>100</v>
      </c>
      <c r="M51" s="39"/>
      <c r="N51" s="49"/>
      <c r="O51" s="49"/>
      <c r="P51" s="49"/>
      <c r="Q51" s="49"/>
      <c r="S51"/>
      <c r="T51"/>
      <c r="U51"/>
    </row>
    <row r="52" spans="2:21" ht="13.5" customHeight="1" hidden="1">
      <c r="B52" s="128" t="str">
        <f>IF(($E46&gt;0),B46,B45)</f>
        <v>per 100 youth found delinquent</v>
      </c>
      <c r="C52" s="128">
        <f>IF(($E46&gt;0),C46,C45)</f>
        <v>33.16</v>
      </c>
      <c r="D52" s="128">
        <f>IF(($E46&gt;0),D46,D45)</f>
        <v>0.04</v>
      </c>
      <c r="E52" s="60">
        <f>MAX(C52:D52)</f>
        <v>33.16</v>
      </c>
      <c r="G52" t="str">
        <f>G46</f>
        <v>per 100 youth found delinquent</v>
      </c>
      <c r="L52" s="39">
        <f>IF(($E46&gt;0),L46,L45)</f>
        <v>100</v>
      </c>
      <c r="M52" s="39"/>
      <c r="N52" s="49"/>
      <c r="O52" s="49"/>
      <c r="P52" s="49"/>
      <c r="Q52" s="49"/>
      <c r="S52"/>
      <c r="T52"/>
      <c r="U52"/>
    </row>
    <row r="53" spans="2:21" ht="13.5" customHeight="1" hidden="1">
      <c r="B53" s="5"/>
      <c r="C53" s="128"/>
      <c r="D53" s="128"/>
      <c r="E53" s="128"/>
      <c r="L53" s="134"/>
      <c r="M53" s="134"/>
      <c r="N53" s="49"/>
      <c r="O53" s="49"/>
      <c r="P53" s="49"/>
      <c r="Q53" s="49"/>
      <c r="S53"/>
      <c r="T53"/>
      <c r="U53"/>
    </row>
    <row r="54" spans="2:21" ht="13.5" customHeight="1" hidden="1">
      <c r="B54" s="128" t="str">
        <f>B48</f>
        <v>per 1000 youth</v>
      </c>
      <c r="C54" s="60">
        <f>C48</f>
        <v>482.993</v>
      </c>
      <c r="D54" s="60">
        <f>D48</f>
        <v>2.097</v>
      </c>
      <c r="E54" s="60">
        <f>MAX(C54:D54)</f>
        <v>482.993</v>
      </c>
      <c r="G54" t="str">
        <f>G48</f>
        <v>per 1000 youth</v>
      </c>
      <c r="L54" s="2">
        <f>L48</f>
        <v>1000</v>
      </c>
      <c r="M54" s="2"/>
      <c r="N54" s="49"/>
      <c r="O54" s="49"/>
      <c r="P54" s="49"/>
      <c r="Q54" s="49"/>
      <c r="S54"/>
      <c r="T54"/>
      <c r="U54"/>
    </row>
    <row r="55" spans="2:21" ht="13.5" customHeight="1" hidden="1">
      <c r="B55" s="5" t="str">
        <f aca="true" t="shared" si="9" ref="B55:D56">IF(($E49&gt;0),B49,B48)</f>
        <v>per 1000 youth</v>
      </c>
      <c r="C55" s="5">
        <f t="shared" si="9"/>
        <v>482.993</v>
      </c>
      <c r="D55" s="5">
        <f t="shared" si="9"/>
        <v>2.097</v>
      </c>
      <c r="E55" s="128">
        <f>MAX(C55:D55)</f>
        <v>482.993</v>
      </c>
      <c r="G55" t="str">
        <f>G49</f>
        <v>per 100 arrests</v>
      </c>
      <c r="L55" s="39">
        <f>IF(($E49&gt;0),L49,L48)</f>
        <v>1000</v>
      </c>
      <c r="M55" s="39"/>
      <c r="N55" s="49"/>
      <c r="O55" s="49"/>
      <c r="P55" s="49"/>
      <c r="Q55" s="49"/>
      <c r="S55"/>
      <c r="T55"/>
      <c r="U55"/>
    </row>
    <row r="56" spans="2:21" ht="13.5" customHeight="1" hidden="1">
      <c r="B56" s="5" t="str">
        <f t="shared" si="9"/>
        <v>per 100 referrals</v>
      </c>
      <c r="C56" s="5">
        <f t="shared" si="9"/>
        <v>186.77</v>
      </c>
      <c r="D56" s="5">
        <f t="shared" si="9"/>
        <v>0.31</v>
      </c>
      <c r="E56" s="128">
        <f>MAX(C56:D56)</f>
        <v>186.77</v>
      </c>
      <c r="G56" t="str">
        <f>G50</f>
        <v>per 100 referrals</v>
      </c>
      <c r="L56" s="39">
        <f>IF(($E50&gt;0),L50,L49)</f>
        <v>100</v>
      </c>
      <c r="M56" s="39"/>
      <c r="N56" s="49"/>
      <c r="O56" s="49"/>
      <c r="P56" s="49"/>
      <c r="Q56" s="49"/>
      <c r="S56"/>
      <c r="T56"/>
      <c r="U56"/>
    </row>
    <row r="57" spans="2:21" ht="13.5" customHeight="1" hidden="1">
      <c r="B57" s="5" t="str">
        <f>IF(($E51&gt;0),B51,B49)</f>
        <v>per 100 youth petitioned</v>
      </c>
      <c r="C57" s="5">
        <f>IF(($E51&gt;0),C51,C50)</f>
        <v>123.74</v>
      </c>
      <c r="D57" s="5">
        <f>IF(($E51&gt;0),D51,D50)</f>
        <v>0.2</v>
      </c>
      <c r="E57" s="128">
        <f>MAX(C57:D57)</f>
        <v>123.74</v>
      </c>
      <c r="G57" t="str">
        <f>G51</f>
        <v>per 100 youth petitioned</v>
      </c>
      <c r="L57" s="39">
        <f>IF(($E51&gt;0),L51,L50)</f>
        <v>100</v>
      </c>
      <c r="M57" s="39"/>
      <c r="N57" s="49"/>
      <c r="O57" s="49"/>
      <c r="P57" s="49"/>
      <c r="Q57" s="49"/>
      <c r="S57"/>
      <c r="T57"/>
      <c r="U57"/>
    </row>
    <row r="58" spans="2:21" ht="13.5" customHeight="1" hidden="1">
      <c r="B58" s="128" t="str">
        <f>IF(($E52&gt;0),B52,B51)</f>
        <v>per 100 youth found delinquent</v>
      </c>
      <c r="C58" s="128">
        <f>IF(($E52&gt;0),C52,C51)</f>
        <v>33.16</v>
      </c>
      <c r="D58" s="128">
        <f>IF(($E52&gt;0),D52,D51)</f>
        <v>0.04</v>
      </c>
      <c r="E58" s="60">
        <f>MAX(C58:D58)</f>
        <v>33.16</v>
      </c>
      <c r="G58" t="str">
        <f>G52</f>
        <v>per 100 youth found delinquent</v>
      </c>
      <c r="L58" s="2">
        <f>IF(($E52&gt;0),L52,L51)</f>
        <v>100</v>
      </c>
      <c r="M58" s="2"/>
      <c r="N58" s="49"/>
      <c r="O58" s="49"/>
      <c r="P58" s="49"/>
      <c r="Q58" s="49"/>
      <c r="S58"/>
      <c r="T58"/>
      <c r="U58"/>
    </row>
    <row r="59" spans="2:21" ht="13.5" customHeight="1" hidden="1">
      <c r="B59" s="128"/>
      <c r="C59" s="128"/>
      <c r="D59" s="128"/>
      <c r="E59" s="128"/>
      <c r="L59" s="134"/>
      <c r="M59" s="134"/>
      <c r="N59" s="49"/>
      <c r="O59" s="49"/>
      <c r="P59" s="49"/>
      <c r="Q59" s="49"/>
      <c r="S59"/>
      <c r="T59"/>
      <c r="U59"/>
    </row>
    <row r="60" spans="2:21" ht="13.5" customHeight="1" hidden="1">
      <c r="B60" s="128" t="str">
        <f>B54</f>
        <v>per 1000 youth</v>
      </c>
      <c r="C60" s="60">
        <f>C54</f>
        <v>482.993</v>
      </c>
      <c r="D60" s="60">
        <f>D54</f>
        <v>2.097</v>
      </c>
      <c r="E60" s="60">
        <f>MAX(C60:D60)</f>
        <v>482.993</v>
      </c>
      <c r="G60" t="str">
        <f>G54</f>
        <v>per 1000 youth</v>
      </c>
      <c r="L60" s="2">
        <f>L54</f>
        <v>1000</v>
      </c>
      <c r="M60" s="2"/>
      <c r="N60" s="49"/>
      <c r="O60" s="49"/>
      <c r="P60" s="49"/>
      <c r="Q60" s="49"/>
      <c r="S60"/>
      <c r="T60"/>
      <c r="U60"/>
    </row>
    <row r="61" spans="2:21" ht="13.5" customHeight="1" hidden="1">
      <c r="B61" s="5" t="str">
        <f aca="true" t="shared" si="10" ref="B61:D62">IF(($E55&gt;0),B55,B54)</f>
        <v>per 1000 youth</v>
      </c>
      <c r="C61" s="5">
        <f t="shared" si="10"/>
        <v>482.993</v>
      </c>
      <c r="D61" s="5">
        <f t="shared" si="10"/>
        <v>2.097</v>
      </c>
      <c r="E61" s="128">
        <f>MAX(C61:D61)</f>
        <v>482.993</v>
      </c>
      <c r="G61" t="str">
        <f>G55</f>
        <v>per 100 arrests</v>
      </c>
      <c r="L61" s="39">
        <f>IF(($E55&gt;0),L55,L54)</f>
        <v>1000</v>
      </c>
      <c r="M61" s="39"/>
      <c r="N61" s="49"/>
      <c r="O61" s="49"/>
      <c r="P61" s="49"/>
      <c r="Q61" s="49"/>
      <c r="S61"/>
      <c r="T61"/>
      <c r="U61"/>
    </row>
    <row r="62" spans="2:21" ht="13.5" customHeight="1" hidden="1">
      <c r="B62" s="5" t="str">
        <f t="shared" si="10"/>
        <v>per 100 referrals</v>
      </c>
      <c r="C62" s="5">
        <f t="shared" si="10"/>
        <v>186.77</v>
      </c>
      <c r="D62" s="5">
        <f t="shared" si="10"/>
        <v>0.31</v>
      </c>
      <c r="E62" s="128">
        <f>MAX(C62:D62)</f>
        <v>186.77</v>
      </c>
      <c r="G62" t="str">
        <f>G56</f>
        <v>per 100 referrals</v>
      </c>
      <c r="L62" s="39">
        <f>IF(($E56&gt;0),L56,L55)</f>
        <v>100</v>
      </c>
      <c r="M62" s="39"/>
      <c r="N62" s="49"/>
      <c r="O62" s="49"/>
      <c r="P62" s="49"/>
      <c r="Q62" s="49"/>
      <c r="S62"/>
      <c r="T62"/>
      <c r="U62"/>
    </row>
    <row r="63" spans="2:21" ht="13.5" customHeight="1" hidden="1">
      <c r="B63" s="5" t="str">
        <f>IF(($E57&gt;0),B57,B55)</f>
        <v>per 100 youth petitioned</v>
      </c>
      <c r="C63" s="5">
        <f>IF(($E57&gt;0),C57,C56)</f>
        <v>123.74</v>
      </c>
      <c r="D63" s="5">
        <f>IF(($E57&gt;0),D57,D56)</f>
        <v>0.2</v>
      </c>
      <c r="E63" s="128">
        <f>MAX(C63:D63)</f>
        <v>123.74</v>
      </c>
      <c r="G63" t="str">
        <f>G57</f>
        <v>per 100 youth petitioned</v>
      </c>
      <c r="L63" s="39">
        <f>IF(($E57&gt;0),L57,L56)</f>
        <v>100</v>
      </c>
      <c r="M63" s="39"/>
      <c r="N63" s="49"/>
      <c r="O63" s="49"/>
      <c r="P63" s="49"/>
      <c r="Q63" s="49"/>
      <c r="S63"/>
      <c r="T63"/>
      <c r="U63"/>
    </row>
    <row r="64" spans="2:21" ht="13.5" customHeight="1" hidden="1">
      <c r="B64" s="128" t="str">
        <f>IF(($E58&gt;0),B58,B57)</f>
        <v>per 100 youth found delinquent</v>
      </c>
      <c r="C64" s="128">
        <f>IF(($E58&gt;0),C58,C57)</f>
        <v>33.16</v>
      </c>
      <c r="D64" s="128">
        <f>IF(($E58&gt;0),D58,D57)</f>
        <v>0.04</v>
      </c>
      <c r="E64" s="60">
        <f>MAX(C64:D64)</f>
        <v>33.16</v>
      </c>
      <c r="G64" t="str">
        <f>G58</f>
        <v>per 100 youth found delinquent</v>
      </c>
      <c r="L64" s="2">
        <f>IF(($E58&gt;0),L58,L57)</f>
        <v>100</v>
      </c>
      <c r="M64" s="2"/>
      <c r="N64" s="49"/>
      <c r="O64" s="49"/>
      <c r="P64" s="49"/>
      <c r="Q64" s="49"/>
      <c r="S64"/>
      <c r="T64"/>
      <c r="U64"/>
    </row>
    <row r="65" spans="2:21" ht="13.5" customHeight="1" hidden="1">
      <c r="B65" s="171" t="s">
        <v>224</v>
      </c>
      <c r="L65" s="134"/>
      <c r="M65" s="134"/>
      <c r="N65" s="49"/>
      <c r="O65" s="49"/>
      <c r="P65" s="49"/>
      <c r="Q65" s="49"/>
      <c r="S65"/>
      <c r="T65"/>
      <c r="U65"/>
    </row>
    <row r="66" spans="2:21" ht="13.5" customHeight="1" hidden="1">
      <c r="B66" s="128" t="str">
        <f>B60</f>
        <v>per 1000 youth</v>
      </c>
      <c r="C66" s="60">
        <f>C60</f>
        <v>482.993</v>
      </c>
      <c r="D66" s="60">
        <f>D60</f>
        <v>2.097</v>
      </c>
      <c r="E66" s="60">
        <f>MAX(C66:D66)</f>
        <v>482.993</v>
      </c>
      <c r="G66" t="str">
        <f>G60</f>
        <v>per 1000 youth</v>
      </c>
      <c r="L66" s="2">
        <f>L60</f>
        <v>1000</v>
      </c>
      <c r="M66" s="2">
        <f>IF((B66=G66),1,2)</f>
        <v>1</v>
      </c>
      <c r="N66" s="49"/>
      <c r="O66" s="49"/>
      <c r="P66" s="49"/>
      <c r="Q66" s="49"/>
      <c r="S66"/>
      <c r="T66"/>
      <c r="U66"/>
    </row>
    <row r="67" spans="2:21" ht="13.5" customHeight="1" hidden="1">
      <c r="B67" s="5" t="str">
        <f aca="true" t="shared" si="11" ref="B67:D68">IF(($E61&gt;0),B61,B60)</f>
        <v>per 1000 youth</v>
      </c>
      <c r="C67" s="5">
        <f t="shared" si="11"/>
        <v>482.993</v>
      </c>
      <c r="D67" s="5">
        <f t="shared" si="11"/>
        <v>2.097</v>
      </c>
      <c r="E67" s="128">
        <f>MAX(C67:D67)</f>
        <v>482.993</v>
      </c>
      <c r="G67" t="str">
        <f>G61</f>
        <v>per 100 arrests</v>
      </c>
      <c r="L67" s="39">
        <f>IF(($E61&gt;0),L61,L60)</f>
        <v>1000</v>
      </c>
      <c r="M67" s="2">
        <f>IF((B67=G67),1,2)</f>
        <v>2</v>
      </c>
      <c r="N67" s="49"/>
      <c r="O67" s="49"/>
      <c r="P67" s="49"/>
      <c r="Q67" s="49"/>
      <c r="S67"/>
      <c r="T67"/>
      <c r="U67"/>
    </row>
    <row r="68" spans="2:21" ht="13.5" customHeight="1" hidden="1">
      <c r="B68" s="5" t="str">
        <f t="shared" si="11"/>
        <v>per 100 referrals</v>
      </c>
      <c r="C68" s="5">
        <f t="shared" si="11"/>
        <v>186.77</v>
      </c>
      <c r="D68" s="5">
        <f t="shared" si="11"/>
        <v>0.31</v>
      </c>
      <c r="E68" s="128">
        <f>MAX(C68:D68)</f>
        <v>186.77</v>
      </c>
      <c r="G68" t="str">
        <f>G62</f>
        <v>per 100 referrals</v>
      </c>
      <c r="L68" s="39">
        <f>IF(($E62&gt;0),L62,L61)</f>
        <v>100</v>
      </c>
      <c r="M68" s="2">
        <f>IF((B68=G68),1,2)</f>
        <v>1</v>
      </c>
      <c r="N68" s="49"/>
      <c r="O68" s="49"/>
      <c r="P68" s="49"/>
      <c r="Q68" s="49"/>
      <c r="S68"/>
      <c r="T68"/>
      <c r="U68"/>
    </row>
    <row r="69" spans="2:21" ht="13.5" customHeight="1" hidden="1">
      <c r="B69" s="5" t="str">
        <f>IF(($E63&gt;0),B63,B61)</f>
        <v>per 100 youth petitioned</v>
      </c>
      <c r="C69" s="5">
        <f>IF(($E63&gt;0),C63,C62)</f>
        <v>123.74</v>
      </c>
      <c r="D69" s="5">
        <f>IF(($E63&gt;0),D63,D62)</f>
        <v>0.2</v>
      </c>
      <c r="E69" s="128">
        <f>MAX(C69:D69)</f>
        <v>123.74</v>
      </c>
      <c r="G69" t="str">
        <f>G63</f>
        <v>per 100 youth petitioned</v>
      </c>
      <c r="L69" s="39">
        <f>IF(($E63&gt;0),L63,L62)</f>
        <v>100</v>
      </c>
      <c r="M69" s="2">
        <f>IF((B69=G69),1,2)</f>
        <v>1</v>
      </c>
      <c r="N69" s="49"/>
      <c r="O69" s="49"/>
      <c r="P69" s="49"/>
      <c r="Q69" s="49"/>
      <c r="S69"/>
      <c r="T69"/>
      <c r="U69"/>
    </row>
    <row r="70" spans="2:21" ht="13.5" customHeight="1" hidden="1">
      <c r="B70" s="128" t="str">
        <f>IF(($E64&gt;0),B64,B63)</f>
        <v>per 100 youth found delinquent</v>
      </c>
      <c r="C70" s="128">
        <f>IF(($E64&gt;0),C64,C63)</f>
        <v>33.16</v>
      </c>
      <c r="D70" s="128">
        <f>IF(($E64&gt;0),D64,D63)</f>
        <v>0.04</v>
      </c>
      <c r="E70" s="60">
        <f>MAX(C70:D70)</f>
        <v>33.16</v>
      </c>
      <c r="G70" t="str">
        <f>G64</f>
        <v>per 100 youth found delinquent</v>
      </c>
      <c r="L70" s="2">
        <f>IF(($E64&gt;0),L64,L63)</f>
        <v>100</v>
      </c>
      <c r="M70" s="2">
        <f>IF((B70=G70),1,2)</f>
        <v>1</v>
      </c>
      <c r="N70" s="49"/>
      <c r="O70" s="49"/>
      <c r="P70" s="49"/>
      <c r="Q70" s="49"/>
      <c r="S70"/>
      <c r="T70"/>
      <c r="U70"/>
    </row>
    <row r="71" spans="14:21" ht="13.5" customHeight="1" hidden="1">
      <c r="N71" s="49"/>
      <c r="O71" s="49"/>
      <c r="P71" s="49"/>
      <c r="Q71" s="49"/>
      <c r="S71"/>
      <c r="T71"/>
      <c r="U71"/>
    </row>
    <row r="72" spans="14:21" ht="13.5" customHeight="1" hidden="1">
      <c r="N72" s="49"/>
      <c r="O72" s="49"/>
      <c r="P72" s="49"/>
      <c r="Q72" s="49"/>
      <c r="S72"/>
      <c r="T72"/>
      <c r="U72"/>
    </row>
    <row r="73" spans="14:21" ht="13.5" customHeight="1" hidden="1">
      <c r="N73" s="49"/>
      <c r="O73" s="49"/>
      <c r="P73" s="49"/>
      <c r="Q73" s="49"/>
      <c r="S73"/>
      <c r="T73"/>
      <c r="U73"/>
    </row>
    <row r="74" spans="14:21" ht="13.5" customHeight="1" hidden="1">
      <c r="N74" s="49"/>
      <c r="O74" s="49"/>
      <c r="P74" s="49"/>
      <c r="Q74" s="49"/>
      <c r="S74"/>
      <c r="T74"/>
      <c r="U74"/>
    </row>
    <row r="75" ht="13.5" customHeight="1" hidden="1"/>
    <row r="76" ht="13.5" customHeight="1" hidden="1"/>
    <row r="77" ht="13.5" customHeight="1" hidden="1"/>
    <row r="78" ht="13.5" customHeight="1" hidden="1"/>
    <row r="79" ht="13.5" customHeight="1" hidden="1"/>
    <row r="80" ht="13.5" customHeight="1" hidden="1"/>
    <row r="81" ht="13.5" customHeight="1" hidden="1"/>
    <row r="82" ht="13.5" customHeight="1" hidden="1">
      <c r="B82" s="92"/>
    </row>
    <row r="83" ht="13.5" customHeight="1" hidden="1">
      <c r="B83" s="31"/>
    </row>
    <row r="84" ht="13.5" customHeight="1" hidden="1"/>
    <row r="85" ht="13.5" customHeight="1" hidden="1"/>
    <row r="86" ht="13.5" customHeight="1" hidden="1"/>
    <row r="87" ht="13.5" customHeight="1" hidden="1"/>
    <row r="88" ht="13.5" customHeight="1" hidden="1"/>
    <row r="89" ht="13.5" customHeight="1" hidden="1"/>
    <row r="90" ht="13.5" customHeight="1" hidden="1"/>
  </sheetData>
  <mergeCells count="5">
    <mergeCell ref="B40:J40"/>
    <mergeCell ref="C2:D2"/>
    <mergeCell ref="C3:D3"/>
    <mergeCell ref="R1:U4"/>
    <mergeCell ref="N2:Q4"/>
  </mergeCells>
  <conditionalFormatting sqref="F35">
    <cfRule type="expression" priority="1" dxfId="0" stopIfTrue="1">
      <formula>M69=2</formula>
    </cfRule>
  </conditionalFormatting>
  <conditionalFormatting sqref="G7:G15">
    <cfRule type="expression" priority="2" dxfId="0" stopIfTrue="1">
      <formula>$L7=1</formula>
    </cfRule>
    <cfRule type="expression" priority="3" dxfId="1" stopIfTrue="1">
      <formula>$L7=2</formula>
    </cfRule>
    <cfRule type="expression" priority="4" dxfId="2" stopIfTrue="1">
      <formula>$L7&gt;3</formula>
    </cfRule>
  </conditionalFormatting>
  <conditionalFormatting sqref="F27">
    <cfRule type="expression" priority="5" dxfId="3" stopIfTrue="1">
      <formula>M66=2</formula>
    </cfRule>
  </conditionalFormatting>
  <conditionalFormatting sqref="F28">
    <cfRule type="expression" priority="6" dxfId="0" stopIfTrue="1">
      <formula>M67=2</formula>
    </cfRule>
  </conditionalFormatting>
  <conditionalFormatting sqref="F29">
    <cfRule type="expression" priority="7" dxfId="0" stopIfTrue="1">
      <formula>M68=2</formula>
    </cfRule>
  </conditionalFormatting>
  <conditionalFormatting sqref="F30">
    <cfRule type="expression" priority="8" dxfId="0" stopIfTrue="1">
      <formula>M68=2</formula>
    </cfRule>
  </conditionalFormatting>
  <conditionalFormatting sqref="F31">
    <cfRule type="expression" priority="9" dxfId="0" stopIfTrue="1">
      <formula>M68=2</formula>
    </cfRule>
  </conditionalFormatting>
  <conditionalFormatting sqref="F32:F33">
    <cfRule type="expression" priority="10" dxfId="0" stopIfTrue="1">
      <formula>M69=2</formula>
    </cfRule>
  </conditionalFormatting>
  <conditionalFormatting sqref="F34">
    <cfRule type="expression" priority="11" dxfId="0" stopIfTrue="1">
      <formula>M70=2</formula>
    </cfRule>
  </conditionalFormatting>
  <conditionalFormatting sqref="B86">
    <cfRule type="expression" priority="12" dxfId="0" stopIfTrue="1">
      <formula>$D$83=2</formula>
    </cfRule>
  </conditionalFormatting>
  <printOptions/>
  <pageMargins left="0.53" right="0.42" top="0.75" bottom="0.5" header="0" footer="0"/>
  <pageSetup horizontalDpi="300" verticalDpi="300" orientation="portrait"/>
</worksheet>
</file>

<file path=xl/worksheets/sheet8.xml><?xml version="1.0" encoding="utf-8"?>
<worksheet xmlns="http://schemas.openxmlformats.org/spreadsheetml/2006/main" xmlns:r="http://schemas.openxmlformats.org/officeDocument/2006/relationships">
  <dimension ref="B1:U83"/>
  <sheetViews>
    <sheetView showGridLines="0" showRowColHeaders="0" zoomScale="95" zoomScaleNormal="95" workbookViewId="0" topLeftCell="A1">
      <selection activeCell="D17" sqref="D17"/>
    </sheetView>
  </sheetViews>
  <sheetFormatPr defaultColWidth="9.140625" defaultRowHeight="15"/>
  <cols>
    <col min="1" max="1" width="2.57421875" style="0" customWidth="1"/>
    <col min="2" max="2" width="45.7109375" style="0" customWidth="1"/>
    <col min="3" max="3" width="10.57421875" style="0" hidden="1" customWidth="1"/>
    <col min="4" max="4" width="15.7109375" style="0" customWidth="1"/>
    <col min="5" max="5" width="15.7109375" style="0" hidden="1" customWidth="1"/>
    <col min="6" max="6" width="16.421875" style="0" customWidth="1"/>
    <col min="7" max="7" width="15.7109375" style="0" customWidth="1"/>
    <col min="8" max="8" width="8.00390625" style="0" hidden="1" customWidth="1"/>
    <col min="9" max="9" width="7.8515625" style="0" hidden="1" customWidth="1"/>
    <col min="10" max="10" width="8.00390625" style="0" hidden="1" customWidth="1"/>
    <col min="11" max="11" width="8.8515625" style="0" hidden="1" customWidth="1"/>
    <col min="12" max="13" width="9.140625" style="0" hidden="1" customWidth="1"/>
    <col min="14" max="14" width="9.8515625" style="0" hidden="1" customWidth="1"/>
    <col min="15" max="15" width="7.8515625" style="0" hidden="1" customWidth="1"/>
    <col min="16" max="16" width="10.00390625" style="0" hidden="1" customWidth="1"/>
    <col min="17" max="18" width="8.8515625" style="0" hidden="1" customWidth="1"/>
    <col min="19" max="20" width="12.57421875" style="28" hidden="1" customWidth="1"/>
    <col min="21" max="21" width="12.00390625" style="40" hidden="1" customWidth="1"/>
    <col min="22" max="23" width="8.8515625" style="0" hidden="1" customWidth="1"/>
    <col min="24" max="27" width="9.140625" style="0" hidden="1" customWidth="1"/>
  </cols>
  <sheetData>
    <row r="1" spans="2:21" ht="27.75" customHeight="1">
      <c r="B1" s="38" t="s">
        <v>218</v>
      </c>
      <c r="F1" s="120" t="s">
        <v>126</v>
      </c>
      <c r="G1" s="122" t="str">
        <f>'Data Entry'!I5</f>
        <v>Other/ Mixed</v>
      </c>
      <c r="H1" s="47"/>
      <c r="I1" s="47"/>
      <c r="J1" s="47"/>
      <c r="K1" s="160"/>
      <c r="N1" s="162"/>
      <c r="O1" s="162"/>
      <c r="P1" s="162"/>
      <c r="Q1" s="162"/>
      <c r="R1" s="56" t="s">
        <v>200</v>
      </c>
      <c r="S1" s="56"/>
      <c r="T1" s="56"/>
      <c r="U1" s="56"/>
    </row>
    <row r="2" spans="2:21" ht="13.5" customHeight="1">
      <c r="B2" s="164" t="str">
        <f>'Data Entry'!A2</f>
        <v>State : Virginia</v>
      </c>
      <c r="C2" s="135" t="str">
        <f>'Data Entry'!C3</f>
        <v> Reporting Period  7/1/2012</v>
      </c>
      <c r="D2" s="119"/>
      <c r="H2" s="32"/>
      <c r="I2" s="32"/>
      <c r="N2" s="166" t="s">
        <v>42</v>
      </c>
      <c r="O2" s="160"/>
      <c r="P2" s="160"/>
      <c r="Q2" s="160"/>
      <c r="R2" s="56"/>
      <c r="S2" s="56"/>
      <c r="T2" s="56"/>
      <c r="U2" s="56"/>
    </row>
    <row r="3" spans="2:21" ht="13.5" customHeight="1">
      <c r="B3" s="164" t="str">
        <f>'Data Entry'!A3</f>
        <v>County : Statewide</v>
      </c>
      <c r="C3" s="85" t="str">
        <f>'Data Entry'!C4</f>
        <v>through  6/30/2013</v>
      </c>
      <c r="D3" s="119"/>
      <c r="E3" s="102"/>
      <c r="F3" s="48" t="s">
        <v>197</v>
      </c>
      <c r="G3" s="48" t="str">
        <f>'Data Entry'!$K$5</f>
        <v>White</v>
      </c>
      <c r="H3" s="33"/>
      <c r="I3" s="33"/>
      <c r="J3" s="33"/>
      <c r="K3" s="33"/>
      <c r="N3" s="160"/>
      <c r="O3" s="160"/>
      <c r="P3" s="160"/>
      <c r="Q3" s="160"/>
      <c r="R3" s="56"/>
      <c r="S3" s="56"/>
      <c r="T3" s="56"/>
      <c r="U3" s="56"/>
    </row>
    <row r="4" spans="2:21" ht="8.25" customHeight="1">
      <c r="B4" s="130"/>
      <c r="C4" s="154"/>
      <c r="D4" s="154"/>
      <c r="E4" s="154"/>
      <c r="F4" s="154"/>
      <c r="G4" s="66"/>
      <c r="H4" s="66"/>
      <c r="I4" s="66"/>
      <c r="J4" s="8"/>
      <c r="K4" s="8"/>
      <c r="N4" s="160"/>
      <c r="O4" s="160"/>
      <c r="P4" s="160"/>
      <c r="Q4" s="160"/>
      <c r="R4" s="56"/>
      <c r="S4" s="56"/>
      <c r="T4" s="56"/>
      <c r="U4" s="56"/>
    </row>
    <row r="5" spans="2:21" ht="66.75" customHeight="1" thickBot="1">
      <c r="B5" s="107" t="s">
        <v>1</v>
      </c>
      <c r="C5" s="20" t="s">
        <v>236</v>
      </c>
      <c r="D5" s="161" t="s">
        <v>189</v>
      </c>
      <c r="E5" s="20" t="s">
        <v>148</v>
      </c>
      <c r="F5" s="20" t="s">
        <v>136</v>
      </c>
      <c r="G5" s="93" t="s">
        <v>98</v>
      </c>
      <c r="H5" s="80"/>
      <c r="I5" s="80"/>
      <c r="J5" s="108" t="s">
        <v>191</v>
      </c>
      <c r="K5" s="73" t="s">
        <v>154</v>
      </c>
      <c r="L5" s="160" t="s">
        <v>70</v>
      </c>
      <c r="M5" s="160" t="s">
        <v>203</v>
      </c>
      <c r="N5" s="153" t="s">
        <v>107</v>
      </c>
      <c r="O5" s="162" t="s">
        <v>125</v>
      </c>
      <c r="P5" s="162" t="s">
        <v>213</v>
      </c>
      <c r="Q5" s="162" t="s">
        <v>227</v>
      </c>
      <c r="R5" t="s">
        <v>32</v>
      </c>
      <c r="S5" s="160" t="s">
        <v>63</v>
      </c>
      <c r="T5" t="s">
        <v>226</v>
      </c>
      <c r="U5" t="s">
        <v>127</v>
      </c>
    </row>
    <row r="6" spans="2:21" ht="20.25" customHeight="1" thickBot="1">
      <c r="B6" s="115" t="str">
        <f>'Data Entry'!A6</f>
        <v>1. Population at risk (age 10  through 17 ) </v>
      </c>
      <c r="C6" s="159">
        <f>'Data Entry'!K6</f>
        <v>482993</v>
      </c>
      <c r="D6" s="156"/>
      <c r="E6" s="159">
        <f>'Data Entry'!I6</f>
        <v>36562</v>
      </c>
      <c r="F6" s="156"/>
      <c r="G6" s="84"/>
      <c r="H6" s="16"/>
      <c r="I6" s="78"/>
      <c r="J6" s="57"/>
      <c r="K6" s="127"/>
      <c r="L6">
        <f>IF(('Data Entry'!I6&gt;('Data Entry'!B6/100)),1,100)</f>
        <v>1</v>
      </c>
      <c r="M6" t="s">
        <v>81</v>
      </c>
      <c r="N6" s="162"/>
      <c r="O6" s="162"/>
      <c r="P6" s="162"/>
      <c r="Q6" s="162"/>
      <c r="S6"/>
      <c r="T6"/>
      <c r="U6"/>
    </row>
    <row r="7" spans="2:21" ht="18" customHeight="1" thickBot="1">
      <c r="B7" s="115" t="str">
        <f>'Data Entry'!A7</f>
        <v>2. Juvenile Arrests </v>
      </c>
      <c r="C7" s="159">
        <f>'Data Entry'!K7</f>
        <v>0</v>
      </c>
      <c r="D7" s="68">
        <f>IF((AND(C66&gt;0,C7&gt;0)),(C7/C66),0)</f>
        <v>0</v>
      </c>
      <c r="E7" s="159">
        <f>'Data Entry'!I7</f>
        <v>0</v>
      </c>
      <c r="F7" s="68">
        <f>IF((AND($E$7&gt;0,$D$66&gt;0)),($E$7/$D$66),0)</f>
        <v>0</v>
      </c>
      <c r="G7" s="138" t="str">
        <f aca="true" t="shared" si="0" ref="G7:G15">IF(L$6=100,"*",IF(M7=FALSE,"--",IF(K7=20,"**",($F7/$D7))))</f>
        <v>**</v>
      </c>
      <c r="H7" s="55"/>
      <c r="I7" s="64"/>
      <c r="J7" s="23">
        <f>IF((ABS($U7)&gt;Defaults!D$7),1,2)</f>
        <v>2</v>
      </c>
      <c r="K7" s="15">
        <f>IF((AND(N7&gt;Defaults!B$12,(N7+O7)&gt;Defaults!B$13,P7&gt;Defaults!B$12,(P7+Q7)&gt;Defaults!B$13)),1,20)</f>
        <v>20</v>
      </c>
      <c r="L7">
        <f aca="true" t="shared" si="1" ref="L7:L15">(J7*K7+L$6)-1</f>
        <v>40</v>
      </c>
      <c r="M7" t="b">
        <f aca="true" t="shared" si="2" ref="M7:M15">(ISNUMBER(J7))</f>
        <v>1</v>
      </c>
      <c r="N7" s="123">
        <f aca="true" t="shared" si="3" ref="N7:N15">E7</f>
        <v>0</v>
      </c>
      <c r="O7" s="123">
        <f>E6-E7</f>
        <v>36562</v>
      </c>
      <c r="P7" s="123">
        <f aca="true" t="shared" si="4" ref="P7:P15">C7</f>
        <v>0</v>
      </c>
      <c r="Q7" s="123">
        <f>C6-C7</f>
        <v>482993</v>
      </c>
      <c r="R7">
        <f>0.05+(D7*(D66))</f>
        <v>0.05</v>
      </c>
      <c r="S7">
        <f aca="true" t="shared" si="5" ref="S7:S15">ROUND(R7-E7,0)</f>
        <v>0</v>
      </c>
      <c r="T7">
        <f aca="true" t="shared" si="6" ref="T7:T15">S7^2</f>
        <v>0</v>
      </c>
      <c r="U7">
        <f aca="true" t="shared" si="7" ref="U7:U15">T7/R7</f>
        <v>0</v>
      </c>
    </row>
    <row r="8" spans="2:21" ht="18" customHeight="1" thickBot="1">
      <c r="B8" s="115" t="str">
        <f>'Data Entry'!A8</f>
        <v>3. Refer to Juvenile Court</v>
      </c>
      <c r="C8" s="159">
        <f>'Data Entry'!K8</f>
        <v>18677</v>
      </c>
      <c r="D8" s="68">
        <f>IF((AND(C67&gt;0,C8&gt;0)),(C8/C67),0)</f>
        <v>38.669297484642634</v>
      </c>
      <c r="E8" s="159">
        <f>'Data Entry'!I8</f>
        <v>2471</v>
      </c>
      <c r="F8" s="68">
        <f>IF((AND($E$8&gt;0,$D$67&gt;0)),($E8/$D67),0)</f>
        <v>67.58383020622504</v>
      </c>
      <c r="G8" s="138">
        <f t="shared" si="0"/>
        <v>1.7477387644051643</v>
      </c>
      <c r="H8" s="55"/>
      <c r="I8" s="64"/>
      <c r="J8" s="23">
        <f>IF((ABS($U8)&gt;Defaults!D$7),1,2)</f>
        <v>1</v>
      </c>
      <c r="K8" s="15">
        <f>IF((AND(N8&gt;Defaults!B$12,(N8+O8)&gt;Defaults!B$13,P8&gt;Defaults!B$12,(P8+Q8)&gt;Defaults!B$13)),1,20)</f>
        <v>1</v>
      </c>
      <c r="L8">
        <f t="shared" si="1"/>
        <v>1</v>
      </c>
      <c r="M8" t="b">
        <f t="shared" si="2"/>
        <v>1</v>
      </c>
      <c r="N8" s="123">
        <f t="shared" si="3"/>
        <v>2471</v>
      </c>
      <c r="O8" s="123">
        <f>((D67*L67)-E8)+0.05</f>
        <v>34091.05</v>
      </c>
      <c r="P8" s="123">
        <f t="shared" si="4"/>
        <v>18677</v>
      </c>
      <c r="Q8" s="123">
        <f>(C$67*L67)-C8</f>
        <v>464316</v>
      </c>
      <c r="R8">
        <f>D8*D67+0.05</f>
        <v>1413.8768546335039</v>
      </c>
      <c r="S8">
        <f t="shared" si="5"/>
        <v>-1057</v>
      </c>
      <c r="T8">
        <f t="shared" si="6"/>
        <v>1117249</v>
      </c>
      <c r="U8">
        <f t="shared" si="7"/>
        <v>790.2024821600224</v>
      </c>
    </row>
    <row r="9" spans="2:21" ht="18" customHeight="1" thickBot="1">
      <c r="B9" s="115" t="str">
        <f>'Data Entry'!A9</f>
        <v>4. Cases Diverted </v>
      </c>
      <c r="C9" s="159">
        <f>'Data Entry'!K9</f>
        <v>2998</v>
      </c>
      <c r="D9" s="68">
        <f>IF((AND(C68&gt;0,C9&gt;0)),((C9/C68)),0)</f>
        <v>16.051828452106868</v>
      </c>
      <c r="E9" s="159">
        <f>'Data Entry'!I9</f>
        <v>593</v>
      </c>
      <c r="F9" s="68">
        <f>IF((AND($E$9&gt;0,$D$68&gt;0)),(($E$9/$D$68)),0)</f>
        <v>23.998381222177255</v>
      </c>
      <c r="G9" s="138">
        <f t="shared" si="0"/>
        <v>1.4950559242381742</v>
      </c>
      <c r="H9" s="55"/>
      <c r="I9" s="64"/>
      <c r="J9" s="23">
        <f>IF((ABS($U9)&gt;Defaults!D$7),1,2)</f>
        <v>1</v>
      </c>
      <c r="K9" s="15">
        <f>IF((AND(N9&gt;Defaults!B$12,(N9+O9)&gt;Defaults!B$13,P9&gt;Defaults!B$12,(P9+Q9)&gt;Defaults!B$13)),1,20)</f>
        <v>1</v>
      </c>
      <c r="L9">
        <f t="shared" si="1"/>
        <v>1</v>
      </c>
      <c r="M9" t="b">
        <f t="shared" si="2"/>
        <v>1</v>
      </c>
      <c r="N9" s="123">
        <f t="shared" si="3"/>
        <v>593</v>
      </c>
      <c r="O9" s="123">
        <f>(D$68*L68)-E9</f>
        <v>1878</v>
      </c>
      <c r="P9" s="123">
        <f t="shared" si="4"/>
        <v>2998</v>
      </c>
      <c r="Q9" s="123">
        <f>(C$68*L68)-C9</f>
        <v>15679</v>
      </c>
      <c r="R9">
        <f>D9*D68+0.05</f>
        <v>396.6906810515607</v>
      </c>
      <c r="S9">
        <f t="shared" si="5"/>
        <v>-196</v>
      </c>
      <c r="T9">
        <f t="shared" si="6"/>
        <v>38416</v>
      </c>
      <c r="U9">
        <f t="shared" si="7"/>
        <v>96.84119601238325</v>
      </c>
    </row>
    <row r="10" spans="2:21" ht="18" customHeight="1" thickBot="1">
      <c r="B10" s="115" t="str">
        <f>'Data Entry'!A10</f>
        <v>5. Cases Involving Secure Detention</v>
      </c>
      <c r="C10" s="159">
        <f>'Data Entry'!K10</f>
        <v>2398</v>
      </c>
      <c r="D10" s="68">
        <f>IF(((AND(C68&gt;0,C10&gt;0))),(C10/(C68)),0)</f>
        <v>12.83932109011083</v>
      </c>
      <c r="E10" s="159">
        <f>'Data Entry'!I10</f>
        <v>205</v>
      </c>
      <c r="F10" s="68">
        <f>IF(((AND($E$10&gt;0,$D$68&gt;0))),($E$10/($D$68)),0)</f>
        <v>8.296236341562121</v>
      </c>
      <c r="G10" s="138">
        <f t="shared" si="0"/>
        <v>0.6461584910398488</v>
      </c>
      <c r="H10" s="55"/>
      <c r="I10" s="64"/>
      <c r="J10" s="23">
        <f>IF((ABS($U10)&gt;Defaults!D$7),1,2)</f>
        <v>1</v>
      </c>
      <c r="K10" s="15">
        <f>IF((AND(N10&gt;Defaults!B$12,(N10+O10)&gt;Defaults!B$13,P10&gt;Defaults!B$12,(P10+Q10)&gt;Defaults!B$13)),1,20)</f>
        <v>1</v>
      </c>
      <c r="L10">
        <f t="shared" si="1"/>
        <v>1</v>
      </c>
      <c r="M10" t="b">
        <f t="shared" si="2"/>
        <v>1</v>
      </c>
      <c r="N10" s="123">
        <f t="shared" si="3"/>
        <v>205</v>
      </c>
      <c r="O10" s="123">
        <f>(D$68*L68)-E10</f>
        <v>2266</v>
      </c>
      <c r="P10" s="123">
        <f t="shared" si="4"/>
        <v>2398</v>
      </c>
      <c r="Q10" s="123">
        <f>(C$68*L68)-C10</f>
        <v>16279</v>
      </c>
      <c r="R10">
        <f>D10*D68+0.05</f>
        <v>317.30962413663866</v>
      </c>
      <c r="S10">
        <f t="shared" si="5"/>
        <v>112</v>
      </c>
      <c r="T10">
        <f t="shared" si="6"/>
        <v>12544</v>
      </c>
      <c r="U10">
        <f t="shared" si="7"/>
        <v>39.53236538012585</v>
      </c>
    </row>
    <row r="11" spans="2:21" ht="18" customHeight="1" thickBot="1">
      <c r="B11" s="115" t="str">
        <f>'Data Entry'!A11</f>
        <v>6. Cases Petitioned (Charge Filed)</v>
      </c>
      <c r="C11" s="159">
        <f>'Data Entry'!K11</f>
        <v>12374</v>
      </c>
      <c r="D11" s="68">
        <f>IF(((AND(C68&gt;0,C11&gt;0))),(C11/(C68)),0)</f>
        <v>66.25261016223162</v>
      </c>
      <c r="E11" s="159">
        <f>'Data Entry'!I11</f>
        <v>1233</v>
      </c>
      <c r="F11" s="68">
        <f>IF(((AND($E$11&gt;0,$D$68&gt;0))),($E$11/($D$68)),0)</f>
        <v>49.89882638607851</v>
      </c>
      <c r="G11" s="138">
        <f t="shared" si="0"/>
        <v>0.7531601587302315</v>
      </c>
      <c r="H11" s="55"/>
      <c r="I11" s="64"/>
      <c r="J11" s="23">
        <f>IF((ABS($U11)&gt;Defaults!D$7),1,2)</f>
        <v>1</v>
      </c>
      <c r="K11" s="15">
        <f>IF((AND(N11&gt;Defaults!B$12,(N11+O11)&gt;Defaults!B$13,P11&gt;Defaults!B$12,(P11+Q11)&gt;Defaults!B$13)),1,20)</f>
        <v>1</v>
      </c>
      <c r="L11">
        <f t="shared" si="1"/>
        <v>1</v>
      </c>
      <c r="M11" t="b">
        <f t="shared" si="2"/>
        <v>1</v>
      </c>
      <c r="N11" s="123">
        <f t="shared" si="3"/>
        <v>1233</v>
      </c>
      <c r="O11" s="123">
        <f>(D$68*L68)-E11</f>
        <v>1238</v>
      </c>
      <c r="P11" s="123">
        <f t="shared" si="4"/>
        <v>12374</v>
      </c>
      <c r="Q11" s="123">
        <f>(C$68*L68)-C11</f>
        <v>6303</v>
      </c>
      <c r="R11">
        <f>D11*D68+0.05</f>
        <v>1637.1519971087432</v>
      </c>
      <c r="S11">
        <f t="shared" si="5"/>
        <v>404</v>
      </c>
      <c r="T11">
        <f t="shared" si="6"/>
        <v>163216</v>
      </c>
      <c r="U11">
        <f t="shared" si="7"/>
        <v>99.69508041296353</v>
      </c>
    </row>
    <row r="12" spans="2:21" ht="18" customHeight="1" thickBot="1">
      <c r="B12" s="115" t="str">
        <f>'Data Entry'!A12</f>
        <v>7. Cases Resulting in Delinquent Findings</v>
      </c>
      <c r="C12" s="159">
        <f>'Data Entry'!K12</f>
        <v>3316</v>
      </c>
      <c r="D12" s="68">
        <f>IF(((AND(C69&gt;0,C12&gt;0))),(C12/(C69)),0)</f>
        <v>26.798125101018265</v>
      </c>
      <c r="E12" s="159">
        <f>'Data Entry'!I12</f>
        <v>290</v>
      </c>
      <c r="F12" s="68">
        <f>IF(((AND($D$69&gt;0,$E$12&gt;0))),(E12/(D69)),0)</f>
        <v>23.519870235198702</v>
      </c>
      <c r="G12" s="138">
        <f t="shared" si="0"/>
        <v>0.8776684990661904</v>
      </c>
      <c r="H12" s="55"/>
      <c r="I12" s="64"/>
      <c r="J12" s="23">
        <f>IF((ABS($U12)&gt;Defaults!D$7),1,2)</f>
        <v>1</v>
      </c>
      <c r="K12" s="15">
        <f>IF((AND(N12&gt;Defaults!B$12,(N12+O12)&gt;Defaults!B$13,P12&gt;Defaults!B$12,(P12+Q12)&gt;Defaults!B$13)),1,20)</f>
        <v>1</v>
      </c>
      <c r="L12">
        <f t="shared" si="1"/>
        <v>1</v>
      </c>
      <c r="M12" t="b">
        <f t="shared" si="2"/>
        <v>1</v>
      </c>
      <c r="N12" s="123">
        <f t="shared" si="3"/>
        <v>290</v>
      </c>
      <c r="O12" s="123">
        <f>(D69*L69)-E12</f>
        <v>943</v>
      </c>
      <c r="P12" s="123">
        <f t="shared" si="4"/>
        <v>3316</v>
      </c>
      <c r="Q12" s="123">
        <f>(C69*L69)-C12</f>
        <v>9058</v>
      </c>
      <c r="R12">
        <f>D12*D69+0.05</f>
        <v>330.4708824955552</v>
      </c>
      <c r="S12">
        <f t="shared" si="5"/>
        <v>40</v>
      </c>
      <c r="T12">
        <f t="shared" si="6"/>
        <v>1600</v>
      </c>
      <c r="U12">
        <f t="shared" si="7"/>
        <v>4.8415763226024</v>
      </c>
    </row>
    <row r="13" spans="2:21" ht="18" customHeight="1" thickBot="1">
      <c r="B13" s="115" t="str">
        <f>'Data Entry'!A13</f>
        <v>8. Cases resulting in Probation Placement</v>
      </c>
      <c r="C13" s="159">
        <f>'Data Entry'!K13</f>
        <v>2032</v>
      </c>
      <c r="D13" s="68">
        <f>IF(((AND(C70&gt;0,C13&gt;0))),(C13/(C70)),0)</f>
        <v>61.27864897466828</v>
      </c>
      <c r="E13" s="159">
        <f>'Data Entry'!I13</f>
        <v>175</v>
      </c>
      <c r="F13" s="68">
        <f>IF(((AND($D$70&gt;0,$E$13&gt;0))),($E$13/($D$70)),0)</f>
        <v>60.3448275862069</v>
      </c>
      <c r="G13" s="138">
        <f t="shared" si="0"/>
        <v>0.9847610643497149</v>
      </c>
      <c r="H13" s="55"/>
      <c r="I13" s="64"/>
      <c r="J13" s="23">
        <f>IF((ABS($U13)&gt;Defaults!D$7),1,2)</f>
        <v>2</v>
      </c>
      <c r="K13" s="15">
        <f>IF((AND(N13&gt;Defaults!B$12,(N13+O13)&gt;Defaults!B$13,P13&gt;Defaults!B$12,(P13+Q13)&gt;Defaults!B$13)),1,20)</f>
        <v>1</v>
      </c>
      <c r="L13">
        <f t="shared" si="1"/>
        <v>2</v>
      </c>
      <c r="M13" t="b">
        <f t="shared" si="2"/>
        <v>1</v>
      </c>
      <c r="N13" s="123">
        <f t="shared" si="3"/>
        <v>175</v>
      </c>
      <c r="O13" s="123">
        <f>(D70*L70)-E13</f>
        <v>115</v>
      </c>
      <c r="P13" s="123">
        <f t="shared" si="4"/>
        <v>2032</v>
      </c>
      <c r="Q13" s="123">
        <f>(C70*L70)-C13</f>
        <v>1283.9999999999995</v>
      </c>
      <c r="R13">
        <f>D13*D70+0.05</f>
        <v>177.758082026538</v>
      </c>
      <c r="S13">
        <f t="shared" si="5"/>
        <v>3</v>
      </c>
      <c r="T13">
        <f t="shared" si="6"/>
        <v>9</v>
      </c>
      <c r="U13">
        <f t="shared" si="7"/>
        <v>0.05063060929435751</v>
      </c>
    </row>
    <row r="14" spans="2:21" ht="30.75" thickBot="1">
      <c r="B14" s="115" t="str">
        <f>'Data Entry'!A14</f>
        <v>9. Cases Resulting in Confinement in Secure    Juvenile Correctional Facilities </v>
      </c>
      <c r="C14" s="159">
        <f>'Data Entry'!K14</f>
        <v>121</v>
      </c>
      <c r="D14" s="68">
        <f>IF(((AND(C70&gt;0,C14&gt;0))),((C14/(C70))),0)</f>
        <v>3.6489746682750304</v>
      </c>
      <c r="E14" s="159">
        <f>'Data Entry'!I14</f>
        <v>10</v>
      </c>
      <c r="F14" s="68">
        <f>IF(((AND($D$70&gt;0,$E$14&gt;0))),(($E$14/($D$70))),0)</f>
        <v>3.4482758620689657</v>
      </c>
      <c r="G14" s="138">
        <f t="shared" si="0"/>
        <v>0.944998575092619</v>
      </c>
      <c r="H14" s="55"/>
      <c r="I14" s="64"/>
      <c r="J14" s="23">
        <f>IF((ABS($U14)&gt;Defaults!D$7),1,2)</f>
        <v>2</v>
      </c>
      <c r="K14" s="15">
        <f>IF((AND(N14&gt;Defaults!B$12,(N14+O14)&gt;Defaults!B$13,P14&gt;Defaults!B$12,(P14+Q14)&gt;Defaults!B$13)),1,20)</f>
        <v>1</v>
      </c>
      <c r="L14">
        <f t="shared" si="1"/>
        <v>2</v>
      </c>
      <c r="M14" t="b">
        <f t="shared" si="2"/>
        <v>1</v>
      </c>
      <c r="N14" s="123">
        <f t="shared" si="3"/>
        <v>10</v>
      </c>
      <c r="O14" s="123">
        <f>(D70*L70)-E14</f>
        <v>280</v>
      </c>
      <c r="P14" s="123">
        <f t="shared" si="4"/>
        <v>121</v>
      </c>
      <c r="Q14" s="123">
        <f>(C70*L70)-C14</f>
        <v>3194.9999999999995</v>
      </c>
      <c r="R14">
        <f>D14*D70+0.05</f>
        <v>10.632026537997588</v>
      </c>
      <c r="S14">
        <f t="shared" si="5"/>
        <v>1</v>
      </c>
      <c r="T14">
        <f t="shared" si="6"/>
        <v>1</v>
      </c>
      <c r="U14">
        <f t="shared" si="7"/>
        <v>0.09405544619608688</v>
      </c>
    </row>
    <row r="15" spans="2:21" ht="15.75" thickBot="1">
      <c r="B15" s="115" t="str">
        <f>'Data Entry'!A15</f>
        <v>10. Cases Transferred to Adult Court </v>
      </c>
      <c r="C15" s="159">
        <f>'Data Entry'!K15</f>
        <v>0</v>
      </c>
      <c r="D15" s="68">
        <f>IF(((AND(C69&gt;0,C15&gt;0))),((C15/(C69))),0)</f>
        <v>0</v>
      </c>
      <c r="E15" s="159">
        <f>'Data Entry'!I15</f>
        <v>0</v>
      </c>
      <c r="F15" s="68">
        <f>IF(((AND($D$69&gt;0,$E$15&gt;0))),(($E$15/($D$69))),0)</f>
        <v>0</v>
      </c>
      <c r="G15" s="138" t="str">
        <f t="shared" si="0"/>
        <v>**</v>
      </c>
      <c r="H15" s="55"/>
      <c r="I15" s="64"/>
      <c r="J15" s="23">
        <f>IF((ABS($U15)&gt;Defaults!D$7),1,2)</f>
        <v>2</v>
      </c>
      <c r="K15" s="15">
        <f>IF((AND(N15&gt;Defaults!B$12,(N15+O15)&gt;Defaults!B$13,P15&gt;Defaults!B$12,(P15+Q15)&gt;Defaults!B$13)),1,20)</f>
        <v>20</v>
      </c>
      <c r="L15">
        <f t="shared" si="1"/>
        <v>40</v>
      </c>
      <c r="M15" t="b">
        <f t="shared" si="2"/>
        <v>1</v>
      </c>
      <c r="N15" s="123">
        <f t="shared" si="3"/>
        <v>0</v>
      </c>
      <c r="O15" s="123">
        <f>(D69*L69)-E15</f>
        <v>1233</v>
      </c>
      <c r="P15" s="123">
        <f t="shared" si="4"/>
        <v>0</v>
      </c>
      <c r="Q15" s="123">
        <f>(C69*L69)-C15</f>
        <v>12374</v>
      </c>
      <c r="R15">
        <f>D15*D69+0.05</f>
        <v>0.05</v>
      </c>
      <c r="S15">
        <f t="shared" si="5"/>
        <v>0</v>
      </c>
      <c r="T15">
        <f t="shared" si="6"/>
        <v>0</v>
      </c>
      <c r="U15">
        <f t="shared" si="7"/>
        <v>0</v>
      </c>
    </row>
    <row r="16" spans="2:21" ht="12" customHeight="1">
      <c r="B16" s="103" t="s">
        <v>40</v>
      </c>
      <c r="C16" s="63"/>
      <c r="D16" s="63"/>
      <c r="E16" s="63"/>
      <c r="F16" s="63"/>
      <c r="G16" s="63"/>
      <c r="H16" s="63"/>
      <c r="I16" s="63"/>
      <c r="N16" s="162"/>
      <c r="O16" s="162"/>
      <c r="P16" s="162"/>
      <c r="Q16" s="162"/>
      <c r="S16"/>
      <c r="T16"/>
      <c r="U16"/>
    </row>
    <row r="17" spans="2:21" ht="26.25" customHeight="1">
      <c r="B17" s="103"/>
      <c r="C17" s="63"/>
      <c r="D17" s="63"/>
      <c r="E17" s="63"/>
      <c r="F17" s="63"/>
      <c r="G17" s="63"/>
      <c r="H17" s="63"/>
      <c r="I17" s="63"/>
      <c r="N17" s="162"/>
      <c r="O17" s="162"/>
      <c r="P17" s="162"/>
      <c r="Q17" s="162"/>
      <c r="S17"/>
      <c r="T17"/>
      <c r="U17"/>
    </row>
    <row r="18" spans="2:21" ht="15">
      <c r="B18" t="s">
        <v>113</v>
      </c>
      <c r="N18" s="49"/>
      <c r="O18" s="49"/>
      <c r="P18" s="49"/>
      <c r="Q18" s="49"/>
      <c r="S18"/>
      <c r="T18"/>
      <c r="U18"/>
    </row>
    <row r="19" spans="2:21" ht="15">
      <c r="B19" t="s">
        <v>151</v>
      </c>
      <c r="D19" s="61" t="s">
        <v>118</v>
      </c>
      <c r="N19" s="49"/>
      <c r="O19" s="49"/>
      <c r="P19" s="49"/>
      <c r="Q19" s="49"/>
      <c r="S19"/>
      <c r="T19"/>
      <c r="U19"/>
    </row>
    <row r="20" spans="2:21" ht="15">
      <c r="B20" t="s">
        <v>34</v>
      </c>
      <c r="D20" t="s">
        <v>57</v>
      </c>
      <c r="N20" s="49"/>
      <c r="O20" s="49"/>
      <c r="P20" s="49"/>
      <c r="Q20" s="49"/>
      <c r="S20"/>
      <c r="T20"/>
      <c r="U20"/>
    </row>
    <row r="21" spans="2:21" ht="15">
      <c r="B21" t="s">
        <v>199</v>
      </c>
      <c r="D21" t="s">
        <v>195</v>
      </c>
      <c r="N21" s="49"/>
      <c r="O21" s="49"/>
      <c r="P21" s="49"/>
      <c r="Q21" s="49"/>
      <c r="S21"/>
      <c r="T21"/>
      <c r="U21"/>
    </row>
    <row r="22" spans="2:21" ht="15">
      <c r="B22" t="s">
        <v>103</v>
      </c>
      <c r="D22" t="s">
        <v>214</v>
      </c>
      <c r="N22" s="49"/>
      <c r="O22" s="49"/>
      <c r="P22" s="49"/>
      <c r="Q22" s="49"/>
      <c r="S22"/>
      <c r="T22"/>
      <c r="U22"/>
    </row>
    <row r="23" spans="2:21" ht="15">
      <c r="B23" t="s">
        <v>129</v>
      </c>
      <c r="D23" s="163" t="s">
        <v>180</v>
      </c>
      <c r="K23" t="s">
        <v>70</v>
      </c>
      <c r="N23" s="49"/>
      <c r="O23" s="49"/>
      <c r="P23" s="49"/>
      <c r="Q23" s="49"/>
      <c r="S23"/>
      <c r="T23"/>
      <c r="U23"/>
    </row>
    <row r="24" spans="2:21" ht="26.25" customHeight="1">
      <c r="B24" s="103"/>
      <c r="C24" s="63"/>
      <c r="D24" s="63"/>
      <c r="E24" s="63"/>
      <c r="F24" s="63"/>
      <c r="G24" s="63"/>
      <c r="H24" s="63"/>
      <c r="I24" s="63"/>
      <c r="N24" s="162"/>
      <c r="O24" s="162"/>
      <c r="P24" s="162"/>
      <c r="Q24" s="162"/>
      <c r="S24"/>
      <c r="T24"/>
      <c r="U24"/>
    </row>
    <row r="25" spans="2:21" ht="15">
      <c r="B25" s="117" t="s">
        <v>96</v>
      </c>
      <c r="K25" t="s">
        <v>198</v>
      </c>
      <c r="L25" t="s">
        <v>2</v>
      </c>
      <c r="N25" s="162"/>
      <c r="O25" s="162" t="b">
        <f>ISBLANK(N12)</f>
        <v>0</v>
      </c>
      <c r="P25" s="162"/>
      <c r="Q25" s="162"/>
      <c r="S25"/>
      <c r="T25"/>
      <c r="U25"/>
    </row>
    <row r="26" spans="2:21" ht="15" customHeight="1">
      <c r="B26" s="95" t="s">
        <v>78</v>
      </c>
      <c r="C26" s="142"/>
      <c r="D26" s="142"/>
      <c r="E26" s="142"/>
      <c r="F26" s="95" t="s">
        <v>207</v>
      </c>
      <c r="G26" s="95"/>
      <c r="H26" s="95"/>
      <c r="I26" s="95"/>
      <c r="J26" s="95"/>
      <c r="K26" s="157" t="s">
        <v>180</v>
      </c>
      <c r="L26" s="97" t="s">
        <v>217</v>
      </c>
      <c r="M26" s="97"/>
      <c r="N26" s="49"/>
      <c r="O26" s="49"/>
      <c r="P26" s="49"/>
      <c r="Q26" s="49"/>
      <c r="S26"/>
      <c r="T26"/>
      <c r="U26"/>
    </row>
    <row r="27" spans="2:21" ht="15" customHeight="1">
      <c r="B27" s="6" t="s">
        <v>9</v>
      </c>
      <c r="C27" s="6"/>
      <c r="D27" s="6"/>
      <c r="E27" s="6"/>
      <c r="F27" s="6" t="str">
        <f>B66</f>
        <v>per 1000 youth</v>
      </c>
      <c r="G27" s="6"/>
      <c r="H27" s="6"/>
      <c r="I27" s="6"/>
      <c r="J27" s="6">
        <f>F66</f>
        <v>0</v>
      </c>
      <c r="K27" s="6" t="s">
        <v>214</v>
      </c>
      <c r="L27" s="54" t="s">
        <v>161</v>
      </c>
      <c r="M27" s="142"/>
      <c r="N27" s="49"/>
      <c r="O27" s="49"/>
      <c r="P27" s="49"/>
      <c r="Q27" s="49"/>
      <c r="S27"/>
      <c r="T27"/>
      <c r="U27"/>
    </row>
    <row r="28" spans="2:21" ht="15" customHeight="1">
      <c r="B28" s="6" t="s">
        <v>94</v>
      </c>
      <c r="C28" s="6"/>
      <c r="D28" s="6"/>
      <c r="E28" s="6"/>
      <c r="F28" s="89" t="str">
        <f>B67</f>
        <v>per 1000 youth</v>
      </c>
      <c r="G28" s="89"/>
      <c r="H28" s="89"/>
      <c r="I28" s="89"/>
      <c r="J28" s="89"/>
      <c r="K28" s="89" t="s">
        <v>195</v>
      </c>
      <c r="L28" s="104" t="s">
        <v>26</v>
      </c>
      <c r="M28" s="142"/>
      <c r="N28" s="49"/>
      <c r="O28" s="49"/>
      <c r="P28" s="49"/>
      <c r="Q28" s="49"/>
      <c r="S28"/>
      <c r="T28"/>
      <c r="U28"/>
    </row>
    <row r="29" spans="2:21" ht="15" customHeight="1">
      <c r="B29" s="89" t="s">
        <v>158</v>
      </c>
      <c r="C29" s="89"/>
      <c r="D29" s="89"/>
      <c r="E29" s="89"/>
      <c r="F29" s="89" t="str">
        <f>B68</f>
        <v>per 100 referrals</v>
      </c>
      <c r="G29" s="89"/>
      <c r="H29" s="89"/>
      <c r="I29" s="89"/>
      <c r="J29" s="89"/>
      <c r="K29" s="89"/>
      <c r="L29" s="104"/>
      <c r="M29" s="142"/>
      <c r="N29" s="49"/>
      <c r="O29" s="49"/>
      <c r="P29" s="49"/>
      <c r="Q29" s="49"/>
      <c r="S29"/>
      <c r="T29"/>
      <c r="U29"/>
    </row>
    <row r="30" spans="2:21" ht="15" customHeight="1">
      <c r="B30" s="89" t="s">
        <v>48</v>
      </c>
      <c r="C30" s="89"/>
      <c r="D30" s="89"/>
      <c r="E30" s="89"/>
      <c r="F30" s="89" t="str">
        <f>B68</f>
        <v>per 100 referrals</v>
      </c>
      <c r="G30" s="89"/>
      <c r="H30" s="89"/>
      <c r="I30" s="89"/>
      <c r="J30" s="89"/>
      <c r="K30" s="89"/>
      <c r="L30" s="104"/>
      <c r="M30" s="142"/>
      <c r="N30" s="49" t="b">
        <f>ISNUMBER(J14)</f>
        <v>1</v>
      </c>
      <c r="O30" s="49"/>
      <c r="P30" s="49"/>
      <c r="Q30" s="49"/>
      <c r="S30"/>
      <c r="T30"/>
      <c r="U30"/>
    </row>
    <row r="31" spans="2:21" ht="15" customHeight="1">
      <c r="B31" s="89" t="s">
        <v>20</v>
      </c>
      <c r="C31" s="89"/>
      <c r="D31" s="89"/>
      <c r="E31" s="89"/>
      <c r="F31" s="89" t="str">
        <f>B68</f>
        <v>per 100 referrals</v>
      </c>
      <c r="G31" s="89"/>
      <c r="H31" s="89"/>
      <c r="I31" s="89"/>
      <c r="J31" s="89"/>
      <c r="K31" s="89"/>
      <c r="L31" s="104"/>
      <c r="M31" s="142"/>
      <c r="N31" s="49"/>
      <c r="O31" s="49"/>
      <c r="P31" s="49"/>
      <c r="Q31" s="49"/>
      <c r="S31"/>
      <c r="T31"/>
      <c r="U31"/>
    </row>
    <row r="32" spans="2:21" ht="15" customHeight="1">
      <c r="B32" s="89" t="s">
        <v>41</v>
      </c>
      <c r="C32" s="89"/>
      <c r="D32" s="89"/>
      <c r="E32" s="89"/>
      <c r="F32" s="89" t="str">
        <f>B69</f>
        <v>per 100 youth petitioned</v>
      </c>
      <c r="G32" s="89"/>
      <c r="H32" s="89"/>
      <c r="I32" s="89"/>
      <c r="J32" s="89"/>
      <c r="K32" s="89"/>
      <c r="L32" s="104"/>
      <c r="M32" s="142"/>
      <c r="N32" s="49"/>
      <c r="O32" s="49"/>
      <c r="P32" s="49"/>
      <c r="Q32" s="49"/>
      <c r="S32"/>
      <c r="T32"/>
      <c r="U32"/>
    </row>
    <row r="33" spans="2:21" ht="15" customHeight="1">
      <c r="B33" s="89" t="s">
        <v>111</v>
      </c>
      <c r="C33" s="89"/>
      <c r="D33" s="89"/>
      <c r="E33" s="89"/>
      <c r="F33" s="89" t="str">
        <f>B70</f>
        <v>per 100 youth found delinquent</v>
      </c>
      <c r="G33" s="89"/>
      <c r="H33" s="89"/>
      <c r="I33" s="89"/>
      <c r="J33" s="89"/>
      <c r="K33" s="89"/>
      <c r="L33" s="104"/>
      <c r="M33" s="142"/>
      <c r="N33" s="49"/>
      <c r="O33" s="49"/>
      <c r="P33" s="49"/>
      <c r="Q33" s="49"/>
      <c r="S33"/>
      <c r="T33"/>
      <c r="U33"/>
    </row>
    <row r="34" spans="2:21" ht="15" customHeight="1">
      <c r="B34" s="89" t="s">
        <v>64</v>
      </c>
      <c r="C34" s="89"/>
      <c r="D34" s="89"/>
      <c r="E34" s="89"/>
      <c r="F34" s="89" t="str">
        <f>B70</f>
        <v>per 100 youth found delinquent</v>
      </c>
      <c r="G34" s="89"/>
      <c r="H34" s="89"/>
      <c r="I34" s="89"/>
      <c r="J34" s="89"/>
      <c r="K34" s="89"/>
      <c r="L34" s="104"/>
      <c r="M34" s="142"/>
      <c r="N34" s="49"/>
      <c r="O34" s="49"/>
      <c r="P34" s="49"/>
      <c r="Q34" s="49"/>
      <c r="S34"/>
      <c r="T34"/>
      <c r="U34"/>
    </row>
    <row r="35" spans="2:21" ht="15" customHeight="1">
      <c r="B35" s="89" t="s">
        <v>74</v>
      </c>
      <c r="C35" s="89"/>
      <c r="D35" s="89"/>
      <c r="E35" s="89"/>
      <c r="F35" s="89" t="str">
        <f>B69</f>
        <v>per 100 youth petitioned</v>
      </c>
      <c r="G35" s="89"/>
      <c r="H35" s="89"/>
      <c r="I35" s="89"/>
      <c r="J35" s="89"/>
      <c r="K35" s="89"/>
      <c r="L35" s="104"/>
      <c r="M35" s="142"/>
      <c r="N35" s="49"/>
      <c r="O35" s="49"/>
      <c r="P35" s="49"/>
      <c r="Q35" s="49"/>
      <c r="S35"/>
      <c r="T35"/>
      <c r="U35"/>
    </row>
    <row r="36" spans="10:21" ht="15" customHeight="1">
      <c r="J36" s="142"/>
      <c r="K36" s="142"/>
      <c r="L36" s="142"/>
      <c r="M36" s="142"/>
      <c r="N36" s="49"/>
      <c r="O36" s="49"/>
      <c r="P36" s="49"/>
      <c r="Q36" s="49"/>
      <c r="S36"/>
      <c r="T36"/>
      <c r="U36"/>
    </row>
    <row r="37" spans="14:21" ht="13.5" customHeight="1">
      <c r="N37" s="49"/>
      <c r="O37" s="49"/>
      <c r="P37" s="49"/>
      <c r="Q37" s="49"/>
      <c r="S37"/>
      <c r="T37"/>
      <c r="U37"/>
    </row>
    <row r="38" spans="14:21" ht="13.5" customHeight="1">
      <c r="N38" s="49"/>
      <c r="O38" s="49"/>
      <c r="P38" s="49"/>
      <c r="Q38" s="49"/>
      <c r="S38"/>
      <c r="T38"/>
      <c r="U38"/>
    </row>
    <row r="39" spans="14:21" ht="13.5" customHeight="1">
      <c r="N39" s="49"/>
      <c r="O39" s="49"/>
      <c r="P39" s="49"/>
      <c r="Q39" s="49"/>
      <c r="S39"/>
      <c r="T39"/>
      <c r="U39"/>
    </row>
    <row r="40" spans="2:21" ht="30.75" customHeight="1">
      <c r="B40" s="50" t="s">
        <v>65</v>
      </c>
      <c r="C40" s="160"/>
      <c r="D40" s="160"/>
      <c r="E40" s="160"/>
      <c r="F40" s="160"/>
      <c r="G40" s="160"/>
      <c r="H40" s="160"/>
      <c r="I40" s="160"/>
      <c r="J40" s="160"/>
      <c r="K40" s="160"/>
      <c r="N40" s="49"/>
      <c r="O40" s="49"/>
      <c r="P40" s="49"/>
      <c r="Q40" s="49"/>
      <c r="S40"/>
      <c r="T40"/>
      <c r="U40"/>
    </row>
    <row r="41" spans="2:21" ht="13.5" customHeight="1">
      <c r="B41" s="124" t="s">
        <v>52</v>
      </c>
      <c r="C41" s="83" t="s">
        <v>206</v>
      </c>
      <c r="D41" s="148" t="s">
        <v>15</v>
      </c>
      <c r="E41" s="83" t="s">
        <v>99</v>
      </c>
      <c r="G41" s="83" t="s">
        <v>117</v>
      </c>
      <c r="H41" s="83"/>
      <c r="I41" s="83"/>
      <c r="L41" t="s">
        <v>230</v>
      </c>
      <c r="N41" s="49"/>
      <c r="O41" s="49"/>
      <c r="P41" s="49"/>
      <c r="Q41" s="49"/>
      <c r="S41"/>
      <c r="T41"/>
      <c r="U41"/>
    </row>
    <row r="42" spans="2:21" ht="13.5" customHeight="1">
      <c r="B42" s="5" t="s">
        <v>170</v>
      </c>
      <c r="C42" s="60">
        <f>C6/1000</f>
        <v>482.993</v>
      </c>
      <c r="D42" s="60">
        <f>E6/1000</f>
        <v>36.562</v>
      </c>
      <c r="E42" s="60">
        <f>MAX(C42:D42)</f>
        <v>482.993</v>
      </c>
      <c r="G42" t="str">
        <f>B42</f>
        <v>per 1000 youth</v>
      </c>
      <c r="L42" s="134">
        <v>1000</v>
      </c>
      <c r="M42" s="134"/>
      <c r="N42" s="49"/>
      <c r="O42" s="49"/>
      <c r="P42" s="49"/>
      <c r="Q42" s="49"/>
      <c r="S42"/>
      <c r="T42"/>
      <c r="U42"/>
    </row>
    <row r="43" spans="2:21" ht="13.5" customHeight="1">
      <c r="B43" s="5" t="s">
        <v>167</v>
      </c>
      <c r="C43" s="60">
        <f>C7/100</f>
        <v>0</v>
      </c>
      <c r="D43" s="60">
        <f>E7/100</f>
        <v>0</v>
      </c>
      <c r="E43" s="60">
        <f>MAX(C43:D43,0)</f>
        <v>0</v>
      </c>
      <c r="G43" t="str">
        <f>B43</f>
        <v>per 100 arrests</v>
      </c>
      <c r="L43" s="134">
        <v>100</v>
      </c>
      <c r="M43" s="134"/>
      <c r="N43" s="49"/>
      <c r="O43" s="49"/>
      <c r="P43" s="49"/>
      <c r="Q43" s="49"/>
      <c r="S43"/>
      <c r="T43"/>
      <c r="U43"/>
    </row>
    <row r="44" spans="2:21" ht="13.5" customHeight="1">
      <c r="B44" s="5" t="s">
        <v>95</v>
      </c>
      <c r="C44" s="60">
        <f>C8/100</f>
        <v>186.77</v>
      </c>
      <c r="D44" s="60">
        <f>E8/100</f>
        <v>24.71</v>
      </c>
      <c r="E44" s="60">
        <f>MAX(C44:D44,0)</f>
        <v>186.77</v>
      </c>
      <c r="G44" t="str">
        <f>B44</f>
        <v>per 100 referrals</v>
      </c>
      <c r="L44" s="134">
        <v>100</v>
      </c>
      <c r="M44" s="134"/>
      <c r="N44" s="49"/>
      <c r="O44" s="49"/>
      <c r="P44" s="49"/>
      <c r="Q44" s="49"/>
      <c r="S44"/>
      <c r="T44"/>
      <c r="U44"/>
    </row>
    <row r="45" spans="2:21" ht="13.5" customHeight="1">
      <c r="B45" s="88" t="s">
        <v>84</v>
      </c>
      <c r="C45" s="128">
        <f>C11/100</f>
        <v>123.74</v>
      </c>
      <c r="D45" s="128">
        <f>E11/100</f>
        <v>12.33</v>
      </c>
      <c r="E45" s="60">
        <f>MAX(C45:D45,0)</f>
        <v>123.74</v>
      </c>
      <c r="G45" t="str">
        <f>B45</f>
        <v>per 100 youth petitioned</v>
      </c>
      <c r="L45" s="134">
        <v>100</v>
      </c>
      <c r="M45" s="134"/>
      <c r="N45" s="49"/>
      <c r="O45" s="49"/>
      <c r="P45" s="49"/>
      <c r="Q45" s="49"/>
      <c r="S45"/>
      <c r="T45"/>
      <c r="U45"/>
    </row>
    <row r="46" spans="2:21" ht="13.5" customHeight="1">
      <c r="B46" s="88" t="s">
        <v>187</v>
      </c>
      <c r="C46" s="128">
        <f>C12/100</f>
        <v>33.16</v>
      </c>
      <c r="D46" s="128">
        <f>E12/100</f>
        <v>2.9</v>
      </c>
      <c r="E46" s="60">
        <f>MAX(C46:D46)</f>
        <v>33.16</v>
      </c>
      <c r="G46" t="str">
        <f>B46</f>
        <v>per 100 youth found delinquent</v>
      </c>
      <c r="L46" s="134">
        <v>100</v>
      </c>
      <c r="M46" s="134"/>
      <c r="N46" s="49"/>
      <c r="O46" s="49"/>
      <c r="P46" s="49"/>
      <c r="Q46" s="49"/>
      <c r="S46"/>
      <c r="T46"/>
      <c r="U46"/>
    </row>
    <row r="47" spans="2:21" ht="13.5" customHeight="1">
      <c r="B47" s="160"/>
      <c r="C47" s="160"/>
      <c r="D47" s="160"/>
      <c r="E47" s="160"/>
      <c r="L47" s="134"/>
      <c r="M47" s="134"/>
      <c r="N47" s="49"/>
      <c r="O47" s="49"/>
      <c r="P47" s="49"/>
      <c r="Q47" s="49"/>
      <c r="S47"/>
      <c r="T47"/>
      <c r="U47"/>
    </row>
    <row r="48" spans="2:21" ht="13.5" customHeight="1">
      <c r="B48" s="128" t="str">
        <f>B42</f>
        <v>per 1000 youth</v>
      </c>
      <c r="C48" s="60">
        <f>C42</f>
        <v>482.993</v>
      </c>
      <c r="D48" s="60">
        <f>D42</f>
        <v>36.562</v>
      </c>
      <c r="E48" s="60">
        <f>MAX(C48:D48)</f>
        <v>482.993</v>
      </c>
      <c r="G48" t="str">
        <f>G42</f>
        <v>per 1000 youth</v>
      </c>
      <c r="L48" s="2">
        <f>L42</f>
        <v>1000</v>
      </c>
      <c r="M48" s="2"/>
      <c r="N48" s="162"/>
      <c r="O48" s="162"/>
      <c r="P48" s="162"/>
      <c r="Q48" s="162"/>
      <c r="S48"/>
      <c r="T48"/>
      <c r="U48"/>
    </row>
    <row r="49" spans="2:21" ht="13.5" customHeight="1">
      <c r="B49" s="5" t="str">
        <f aca="true" t="shared" si="8" ref="B49:D50">IF(($E43&gt;0),B43,B42)</f>
        <v>per 1000 youth</v>
      </c>
      <c r="C49" s="5">
        <f t="shared" si="8"/>
        <v>482.993</v>
      </c>
      <c r="D49" s="5">
        <f t="shared" si="8"/>
        <v>36.562</v>
      </c>
      <c r="E49" s="128">
        <f>MAX(C49:D49)</f>
        <v>482.993</v>
      </c>
      <c r="G49" t="str">
        <f>G43</f>
        <v>per 100 arrests</v>
      </c>
      <c r="L49" s="39">
        <f>IF(($E43&gt;0),L43,L42)</f>
        <v>1000</v>
      </c>
      <c r="M49" s="39"/>
      <c r="N49" s="162"/>
      <c r="O49" s="162"/>
      <c r="P49" s="162"/>
      <c r="Q49" s="162"/>
      <c r="S49"/>
      <c r="T49"/>
      <c r="U49"/>
    </row>
    <row r="50" spans="2:21" ht="13.5" customHeight="1">
      <c r="B50" s="5" t="str">
        <f t="shared" si="8"/>
        <v>per 100 referrals</v>
      </c>
      <c r="C50" s="5">
        <f t="shared" si="8"/>
        <v>186.77</v>
      </c>
      <c r="D50" s="5">
        <f t="shared" si="8"/>
        <v>24.71</v>
      </c>
      <c r="E50" s="128">
        <f>MAX(C50:D50)</f>
        <v>186.77</v>
      </c>
      <c r="G50" t="str">
        <f>G44</f>
        <v>per 100 referrals</v>
      </c>
      <c r="L50" s="39">
        <f>IF(($E44&gt;0),L44,L43)</f>
        <v>100</v>
      </c>
      <c r="M50" s="39"/>
      <c r="N50" s="162"/>
      <c r="O50" s="162"/>
      <c r="P50" s="162"/>
      <c r="Q50" s="162"/>
      <c r="S50"/>
      <c r="T50"/>
      <c r="U50"/>
    </row>
    <row r="51" spans="2:21" ht="13.5" customHeight="1">
      <c r="B51" s="5" t="str">
        <f>IF(($E45&gt;0),B45,B43)</f>
        <v>per 100 youth petitioned</v>
      </c>
      <c r="C51" s="5">
        <f>IF(($E45&gt;0),C45,C44)</f>
        <v>123.74</v>
      </c>
      <c r="D51" s="5">
        <f>IF(($E45&gt;0),D45,D44)</f>
        <v>12.33</v>
      </c>
      <c r="E51" s="128">
        <f>MAX(C51:D51)</f>
        <v>123.74</v>
      </c>
      <c r="G51" t="str">
        <f>G45</f>
        <v>per 100 youth petitioned</v>
      </c>
      <c r="L51" s="39">
        <f>IF(($E45&gt;0),L45,L44)</f>
        <v>100</v>
      </c>
      <c r="M51" s="39"/>
      <c r="N51" s="49"/>
      <c r="O51" s="49"/>
      <c r="P51" s="49"/>
      <c r="Q51" s="49"/>
      <c r="S51"/>
      <c r="T51"/>
      <c r="U51"/>
    </row>
    <row r="52" spans="2:21" ht="13.5" customHeight="1">
      <c r="B52" s="128" t="str">
        <f>IF(($E46&gt;0),B46,B45)</f>
        <v>per 100 youth found delinquent</v>
      </c>
      <c r="C52" s="128">
        <f>IF(($E46&gt;0),C46,C45)</f>
        <v>33.16</v>
      </c>
      <c r="D52" s="128">
        <f>IF(($E46&gt;0),D46,D45)</f>
        <v>2.9</v>
      </c>
      <c r="E52" s="60">
        <f>MAX(C52:D52)</f>
        <v>33.16</v>
      </c>
      <c r="G52" t="str">
        <f>G46</f>
        <v>per 100 youth found delinquent</v>
      </c>
      <c r="L52" s="39">
        <f>IF(($E46&gt;0),L46,L45)</f>
        <v>100</v>
      </c>
      <c r="M52" s="39"/>
      <c r="N52" s="49"/>
      <c r="O52" s="49"/>
      <c r="P52" s="49"/>
      <c r="Q52" s="49"/>
      <c r="S52"/>
      <c r="T52"/>
      <c r="U52"/>
    </row>
    <row r="53" spans="2:21" ht="13.5" customHeight="1">
      <c r="B53" s="5"/>
      <c r="C53" s="128"/>
      <c r="D53" s="128"/>
      <c r="E53" s="128"/>
      <c r="L53" s="134"/>
      <c r="M53" s="134"/>
      <c r="N53" s="49"/>
      <c r="O53" s="49"/>
      <c r="P53" s="49"/>
      <c r="Q53" s="49"/>
      <c r="S53"/>
      <c r="T53"/>
      <c r="U53"/>
    </row>
    <row r="54" spans="2:21" ht="13.5" customHeight="1">
      <c r="B54" s="128" t="str">
        <f>B48</f>
        <v>per 1000 youth</v>
      </c>
      <c r="C54" s="60">
        <f>C48</f>
        <v>482.993</v>
      </c>
      <c r="D54" s="60">
        <f>D48</f>
        <v>36.562</v>
      </c>
      <c r="E54" s="60">
        <f>MAX(C54:D54)</f>
        <v>482.993</v>
      </c>
      <c r="G54" t="str">
        <f>G48</f>
        <v>per 1000 youth</v>
      </c>
      <c r="L54" s="2">
        <f>L48</f>
        <v>1000</v>
      </c>
      <c r="M54" s="2"/>
      <c r="N54" s="49"/>
      <c r="O54" s="49"/>
      <c r="P54" s="49"/>
      <c r="Q54" s="49"/>
      <c r="S54"/>
      <c r="T54"/>
      <c r="U54"/>
    </row>
    <row r="55" spans="2:21" ht="13.5" customHeight="1">
      <c r="B55" s="5" t="str">
        <f aca="true" t="shared" si="9" ref="B55:D56">IF(($E49&gt;0),B49,B48)</f>
        <v>per 1000 youth</v>
      </c>
      <c r="C55" s="5">
        <f t="shared" si="9"/>
        <v>482.993</v>
      </c>
      <c r="D55" s="5">
        <f t="shared" si="9"/>
        <v>36.562</v>
      </c>
      <c r="E55" s="128">
        <f>MAX(C55:D55)</f>
        <v>482.993</v>
      </c>
      <c r="G55" t="str">
        <f>G49</f>
        <v>per 100 arrests</v>
      </c>
      <c r="L55" s="39">
        <f>IF(($E49&gt;0),L49,L48)</f>
        <v>1000</v>
      </c>
      <c r="M55" s="39"/>
      <c r="N55" s="49"/>
      <c r="O55" s="49"/>
      <c r="P55" s="49"/>
      <c r="Q55" s="49"/>
      <c r="S55"/>
      <c r="T55"/>
      <c r="U55"/>
    </row>
    <row r="56" spans="2:21" ht="13.5" customHeight="1">
      <c r="B56" s="5" t="str">
        <f t="shared" si="9"/>
        <v>per 100 referrals</v>
      </c>
      <c r="C56" s="5">
        <f t="shared" si="9"/>
        <v>186.77</v>
      </c>
      <c r="D56" s="5">
        <f t="shared" si="9"/>
        <v>24.71</v>
      </c>
      <c r="E56" s="128">
        <f>MAX(C56:D56)</f>
        <v>186.77</v>
      </c>
      <c r="G56" t="str">
        <f>G50</f>
        <v>per 100 referrals</v>
      </c>
      <c r="L56" s="39">
        <f>IF(($E50&gt;0),L50,L49)</f>
        <v>100</v>
      </c>
      <c r="M56" s="39"/>
      <c r="N56" s="49"/>
      <c r="O56" s="49"/>
      <c r="P56" s="49"/>
      <c r="Q56" s="49"/>
      <c r="S56"/>
      <c r="T56"/>
      <c r="U56"/>
    </row>
    <row r="57" spans="2:21" ht="13.5" customHeight="1">
      <c r="B57" s="5" t="str">
        <f>IF(($E51&gt;0),B51,B49)</f>
        <v>per 100 youth petitioned</v>
      </c>
      <c r="C57" s="5">
        <f>IF(($E51&gt;0),C51,C50)</f>
        <v>123.74</v>
      </c>
      <c r="D57" s="5">
        <f>IF(($E51&gt;0),D51,D50)</f>
        <v>12.33</v>
      </c>
      <c r="E57" s="128">
        <f>MAX(C57:D57)</f>
        <v>123.74</v>
      </c>
      <c r="G57" t="str">
        <f>G51</f>
        <v>per 100 youth petitioned</v>
      </c>
      <c r="L57" s="39">
        <f>IF(($E51&gt;0),L51,L50)</f>
        <v>100</v>
      </c>
      <c r="M57" s="39"/>
      <c r="N57" s="49"/>
      <c r="O57" s="49"/>
      <c r="P57" s="49"/>
      <c r="Q57" s="49"/>
      <c r="S57"/>
      <c r="T57"/>
      <c r="U57"/>
    </row>
    <row r="58" spans="2:21" ht="13.5" customHeight="1">
      <c r="B58" s="128" t="str">
        <f>IF(($E52&gt;0),B52,B51)</f>
        <v>per 100 youth found delinquent</v>
      </c>
      <c r="C58" s="128">
        <f>IF(($E52&gt;0),C52,C51)</f>
        <v>33.16</v>
      </c>
      <c r="D58" s="128">
        <f>IF(($E52&gt;0),D52,D51)</f>
        <v>2.9</v>
      </c>
      <c r="E58" s="60">
        <f>MAX(C58:D58)</f>
        <v>33.16</v>
      </c>
      <c r="G58" t="str">
        <f>G52</f>
        <v>per 100 youth found delinquent</v>
      </c>
      <c r="L58" s="2">
        <f>IF(($E52&gt;0),L52,L51)</f>
        <v>100</v>
      </c>
      <c r="M58" s="2"/>
      <c r="N58" s="49"/>
      <c r="O58" s="49"/>
      <c r="P58" s="49"/>
      <c r="Q58" s="49"/>
      <c r="S58"/>
      <c r="T58"/>
      <c r="U58"/>
    </row>
    <row r="59" spans="2:21" ht="13.5" customHeight="1">
      <c r="B59" s="128"/>
      <c r="C59" s="128"/>
      <c r="D59" s="128"/>
      <c r="E59" s="128"/>
      <c r="L59" s="134"/>
      <c r="M59" s="134"/>
      <c r="N59" s="49"/>
      <c r="O59" s="49"/>
      <c r="P59" s="49"/>
      <c r="Q59" s="49"/>
      <c r="S59"/>
      <c r="T59"/>
      <c r="U59"/>
    </row>
    <row r="60" spans="2:21" ht="13.5" customHeight="1">
      <c r="B60" s="128" t="str">
        <f>B54</f>
        <v>per 1000 youth</v>
      </c>
      <c r="C60" s="60">
        <f>C54</f>
        <v>482.993</v>
      </c>
      <c r="D60" s="60">
        <f>D54</f>
        <v>36.562</v>
      </c>
      <c r="E60" s="60">
        <f>MAX(C60:D60)</f>
        <v>482.993</v>
      </c>
      <c r="G60" t="str">
        <f>G54</f>
        <v>per 1000 youth</v>
      </c>
      <c r="L60" s="2">
        <f>L54</f>
        <v>1000</v>
      </c>
      <c r="M60" s="2"/>
      <c r="N60" s="49"/>
      <c r="O60" s="49"/>
      <c r="P60" s="49"/>
      <c r="Q60" s="49"/>
      <c r="S60"/>
      <c r="T60"/>
      <c r="U60"/>
    </row>
    <row r="61" spans="2:21" ht="13.5" customHeight="1">
      <c r="B61" s="5" t="str">
        <f aca="true" t="shared" si="10" ref="B61:D62">IF(($E55&gt;0),B55,B54)</f>
        <v>per 1000 youth</v>
      </c>
      <c r="C61" s="5">
        <f t="shared" si="10"/>
        <v>482.993</v>
      </c>
      <c r="D61" s="5">
        <f t="shared" si="10"/>
        <v>36.562</v>
      </c>
      <c r="E61" s="128">
        <f>MAX(C61:D61)</f>
        <v>482.993</v>
      </c>
      <c r="G61" t="str">
        <f>G55</f>
        <v>per 100 arrests</v>
      </c>
      <c r="L61" s="39">
        <f>IF(($E55&gt;0),L55,L54)</f>
        <v>1000</v>
      </c>
      <c r="M61" s="39"/>
      <c r="N61" s="49"/>
      <c r="O61" s="49"/>
      <c r="P61" s="49"/>
      <c r="Q61" s="49"/>
      <c r="S61"/>
      <c r="T61"/>
      <c r="U61"/>
    </row>
    <row r="62" spans="2:21" ht="13.5" customHeight="1">
      <c r="B62" s="5" t="str">
        <f t="shared" si="10"/>
        <v>per 100 referrals</v>
      </c>
      <c r="C62" s="5">
        <f t="shared" si="10"/>
        <v>186.77</v>
      </c>
      <c r="D62" s="5">
        <f t="shared" si="10"/>
        <v>24.71</v>
      </c>
      <c r="E62" s="128">
        <f>MAX(C62:D62)</f>
        <v>186.77</v>
      </c>
      <c r="G62" t="str">
        <f>G56</f>
        <v>per 100 referrals</v>
      </c>
      <c r="L62" s="39">
        <f>IF(($E56&gt;0),L56,L55)</f>
        <v>100</v>
      </c>
      <c r="M62" s="39"/>
      <c r="N62" s="49"/>
      <c r="O62" s="49"/>
      <c r="P62" s="49"/>
      <c r="Q62" s="49"/>
      <c r="S62"/>
      <c r="T62"/>
      <c r="U62"/>
    </row>
    <row r="63" spans="2:21" ht="13.5" customHeight="1">
      <c r="B63" s="5" t="str">
        <f>IF(($E57&gt;0),B57,B55)</f>
        <v>per 100 youth petitioned</v>
      </c>
      <c r="C63" s="5">
        <f>IF(($E57&gt;0),C57,C56)</f>
        <v>123.74</v>
      </c>
      <c r="D63" s="5">
        <f>IF(($E57&gt;0),D57,D56)</f>
        <v>12.33</v>
      </c>
      <c r="E63" s="128">
        <f>MAX(C63:D63)</f>
        <v>123.74</v>
      </c>
      <c r="G63" t="str">
        <f>G57</f>
        <v>per 100 youth petitioned</v>
      </c>
      <c r="L63" s="39">
        <f>IF(($E57&gt;0),L57,L56)</f>
        <v>100</v>
      </c>
      <c r="M63" s="39"/>
      <c r="N63" s="49"/>
      <c r="O63" s="49"/>
      <c r="P63" s="49"/>
      <c r="Q63" s="49"/>
      <c r="S63"/>
      <c r="T63"/>
      <c r="U63"/>
    </row>
    <row r="64" spans="2:21" ht="13.5" customHeight="1">
      <c r="B64" s="128" t="str">
        <f>IF(($E58&gt;0),B58,B57)</f>
        <v>per 100 youth found delinquent</v>
      </c>
      <c r="C64" s="128">
        <f>IF(($E58&gt;0),C58,C57)</f>
        <v>33.16</v>
      </c>
      <c r="D64" s="128">
        <f>IF(($E58&gt;0),D58,D57)</f>
        <v>2.9</v>
      </c>
      <c r="E64" s="60">
        <f>MAX(C64:D64)</f>
        <v>33.16</v>
      </c>
      <c r="G64" t="str">
        <f>G58</f>
        <v>per 100 youth found delinquent</v>
      </c>
      <c r="L64" s="2">
        <f>IF(($E58&gt;0),L58,L57)</f>
        <v>100</v>
      </c>
      <c r="M64" s="2"/>
      <c r="N64" s="49"/>
      <c r="O64" s="49"/>
      <c r="P64" s="49"/>
      <c r="Q64" s="49"/>
      <c r="S64"/>
      <c r="T64"/>
      <c r="U64"/>
    </row>
    <row r="65" spans="2:21" ht="13.5" customHeight="1">
      <c r="B65" s="171" t="s">
        <v>224</v>
      </c>
      <c r="L65" s="134"/>
      <c r="M65" s="134"/>
      <c r="N65" s="49"/>
      <c r="O65" s="49"/>
      <c r="P65" s="49"/>
      <c r="Q65" s="49"/>
      <c r="S65"/>
      <c r="T65"/>
      <c r="U65"/>
    </row>
    <row r="66" spans="2:21" ht="13.5" customHeight="1">
      <c r="B66" s="128" t="str">
        <f>B60</f>
        <v>per 1000 youth</v>
      </c>
      <c r="C66" s="60">
        <f>C60</f>
        <v>482.993</v>
      </c>
      <c r="D66" s="60">
        <f>D60</f>
        <v>36.562</v>
      </c>
      <c r="E66" s="60">
        <f>MAX(C66:D66)</f>
        <v>482.993</v>
      </c>
      <c r="G66" t="str">
        <f>G60</f>
        <v>per 1000 youth</v>
      </c>
      <c r="L66" s="2">
        <f>L60</f>
        <v>1000</v>
      </c>
      <c r="M66" s="2">
        <f>IF((B66=G66),1,2)</f>
        <v>1</v>
      </c>
      <c r="N66" s="49"/>
      <c r="O66" s="49"/>
      <c r="P66" s="49"/>
      <c r="Q66" s="49"/>
      <c r="S66"/>
      <c r="T66"/>
      <c r="U66"/>
    </row>
    <row r="67" spans="2:21" ht="13.5" customHeight="1">
      <c r="B67" s="5" t="str">
        <f aca="true" t="shared" si="11" ref="B67:D68">IF(($E61&gt;0),B61,B60)</f>
        <v>per 1000 youth</v>
      </c>
      <c r="C67" s="5">
        <f t="shared" si="11"/>
        <v>482.993</v>
      </c>
      <c r="D67" s="5">
        <f t="shared" si="11"/>
        <v>36.562</v>
      </c>
      <c r="E67" s="128">
        <f>MAX(C67:D67)</f>
        <v>482.993</v>
      </c>
      <c r="G67" t="str">
        <f>G61</f>
        <v>per 100 arrests</v>
      </c>
      <c r="L67" s="39">
        <f>IF(($E61&gt;0),L61,L60)</f>
        <v>1000</v>
      </c>
      <c r="M67" s="2">
        <f>IF((B67=G67),1,2)</f>
        <v>2</v>
      </c>
      <c r="N67" s="49"/>
      <c r="O67" s="49"/>
      <c r="P67" s="49"/>
      <c r="Q67" s="49"/>
      <c r="S67"/>
      <c r="T67"/>
      <c r="U67"/>
    </row>
    <row r="68" spans="2:21" ht="13.5" customHeight="1">
      <c r="B68" s="5" t="str">
        <f t="shared" si="11"/>
        <v>per 100 referrals</v>
      </c>
      <c r="C68" s="5">
        <f t="shared" si="11"/>
        <v>186.77</v>
      </c>
      <c r="D68" s="5">
        <f t="shared" si="11"/>
        <v>24.71</v>
      </c>
      <c r="E68" s="128">
        <f>MAX(C68:D68)</f>
        <v>186.77</v>
      </c>
      <c r="G68" t="str">
        <f>G62</f>
        <v>per 100 referrals</v>
      </c>
      <c r="L68" s="39">
        <f>IF(($E62&gt;0),L62,L61)</f>
        <v>100</v>
      </c>
      <c r="M68" s="2">
        <f>IF((B68=G68),1,2)</f>
        <v>1</v>
      </c>
      <c r="N68" s="49"/>
      <c r="O68" s="49"/>
      <c r="P68" s="49"/>
      <c r="Q68" s="49"/>
      <c r="S68"/>
      <c r="T68"/>
      <c r="U68"/>
    </row>
    <row r="69" spans="2:21" ht="13.5" customHeight="1">
      <c r="B69" s="5" t="str">
        <f>IF(($E63&gt;0),B63,B61)</f>
        <v>per 100 youth petitioned</v>
      </c>
      <c r="C69" s="5">
        <f>IF(($E63&gt;0),C63,C62)</f>
        <v>123.74</v>
      </c>
      <c r="D69" s="5">
        <f>IF(($E63&gt;0),D63,D62)</f>
        <v>12.33</v>
      </c>
      <c r="E69" s="128">
        <f>MAX(C69:D69)</f>
        <v>123.74</v>
      </c>
      <c r="G69" t="str">
        <f>G63</f>
        <v>per 100 youth petitioned</v>
      </c>
      <c r="L69" s="39">
        <f>IF(($E63&gt;0),L63,L62)</f>
        <v>100</v>
      </c>
      <c r="M69" s="2">
        <f>IF((B69=G69),1,2)</f>
        <v>1</v>
      </c>
      <c r="N69" s="49"/>
      <c r="O69" s="49"/>
      <c r="P69" s="49"/>
      <c r="Q69" s="49"/>
      <c r="S69"/>
      <c r="T69"/>
      <c r="U69"/>
    </row>
    <row r="70" spans="2:21" ht="13.5" customHeight="1">
      <c r="B70" s="128" t="str">
        <f>IF(($E64&gt;0),B64,B63)</f>
        <v>per 100 youth found delinquent</v>
      </c>
      <c r="C70" s="128">
        <f>IF(($E64&gt;0),C64,C63)</f>
        <v>33.16</v>
      </c>
      <c r="D70" s="128">
        <f>IF(($E64&gt;0),D64,D63)</f>
        <v>2.9</v>
      </c>
      <c r="E70" s="60">
        <f>MAX(C70:D70)</f>
        <v>33.16</v>
      </c>
      <c r="G70" t="str">
        <f>G64</f>
        <v>per 100 youth found delinquent</v>
      </c>
      <c r="L70" s="2">
        <f>IF(($E64&gt;0),L64,L63)</f>
        <v>100</v>
      </c>
      <c r="M70" s="2">
        <f>IF((B70=G70),1,2)</f>
        <v>1</v>
      </c>
      <c r="N70" s="49"/>
      <c r="O70" s="49"/>
      <c r="P70" s="49"/>
      <c r="Q70" s="49"/>
      <c r="S70"/>
      <c r="T70"/>
      <c r="U70"/>
    </row>
    <row r="71" spans="14:21" ht="13.5" customHeight="1">
      <c r="N71" s="49"/>
      <c r="O71" s="49"/>
      <c r="P71" s="49"/>
      <c r="Q71" s="49"/>
      <c r="S71"/>
      <c r="T71"/>
      <c r="U71"/>
    </row>
    <row r="72" spans="14:21" ht="13.5" customHeight="1">
      <c r="N72" s="49"/>
      <c r="O72" s="49"/>
      <c r="P72" s="49"/>
      <c r="Q72" s="49"/>
      <c r="S72"/>
      <c r="T72"/>
      <c r="U72"/>
    </row>
    <row r="73" spans="14:21" ht="13.5" customHeight="1">
      <c r="N73" s="49"/>
      <c r="O73" s="49"/>
      <c r="P73" s="49"/>
      <c r="Q73" s="49"/>
      <c r="S73"/>
      <c r="T73"/>
      <c r="U73"/>
    </row>
    <row r="74" spans="14:21" ht="13.5" customHeight="1">
      <c r="N74" s="49"/>
      <c r="O74" s="49"/>
      <c r="P74" s="49"/>
      <c r="Q74" s="49"/>
      <c r="S74"/>
      <c r="T74"/>
      <c r="U74"/>
    </row>
    <row r="75" ht="13.5" customHeight="1"/>
    <row r="76" ht="13.5" customHeight="1"/>
    <row r="77" ht="13.5" customHeight="1"/>
    <row r="78" ht="13.5" customHeight="1"/>
    <row r="79" ht="13.5" customHeight="1"/>
    <row r="80" ht="13.5" customHeight="1"/>
    <row r="81" ht="13.5" customHeight="1"/>
    <row r="82" ht="13.5" customHeight="1">
      <c r="B82" s="92"/>
    </row>
    <row r="83" ht="13.5" customHeight="1">
      <c r="B83" s="31"/>
    </row>
    <row r="84" ht="13.5" customHeight="1"/>
    <row r="85" ht="13.5" customHeight="1"/>
    <row r="86" ht="13.5" customHeight="1"/>
    <row r="87" ht="13.5" customHeight="1"/>
    <row r="88" ht="13.5" customHeight="1"/>
    <row r="89" ht="13.5" customHeight="1"/>
    <row r="90" ht="13.5" customHeight="1"/>
  </sheetData>
  <mergeCells count="5">
    <mergeCell ref="B40:J40"/>
    <mergeCell ref="C2:D2"/>
    <mergeCell ref="C3:D3"/>
    <mergeCell ref="R1:U4"/>
    <mergeCell ref="N2:Q4"/>
  </mergeCells>
  <conditionalFormatting sqref="F28">
    <cfRule type="expression" priority="1" dxfId="0" stopIfTrue="1">
      <formula>M67=2</formula>
    </cfRule>
  </conditionalFormatting>
  <conditionalFormatting sqref="G7:G15">
    <cfRule type="expression" priority="2" dxfId="0" stopIfTrue="1">
      <formula>$L7=1</formula>
    </cfRule>
    <cfRule type="expression" priority="3" dxfId="1" stopIfTrue="1">
      <formula>$L7=2</formula>
    </cfRule>
    <cfRule type="expression" priority="4" dxfId="2" stopIfTrue="1">
      <formula>$L7&gt;3</formula>
    </cfRule>
  </conditionalFormatting>
  <conditionalFormatting sqref="F27">
    <cfRule type="expression" priority="5" dxfId="3" stopIfTrue="1">
      <formula>M66=2</formula>
    </cfRule>
  </conditionalFormatting>
  <conditionalFormatting sqref="F29">
    <cfRule type="expression" priority="6" dxfId="0" stopIfTrue="1">
      <formula>M68=2</formula>
    </cfRule>
  </conditionalFormatting>
  <conditionalFormatting sqref="F30">
    <cfRule type="expression" priority="7" dxfId="0" stopIfTrue="1">
      <formula>M68=2</formula>
    </cfRule>
  </conditionalFormatting>
  <conditionalFormatting sqref="F31">
    <cfRule type="expression" priority="8" dxfId="0" stopIfTrue="1">
      <formula>M68=2</formula>
    </cfRule>
  </conditionalFormatting>
  <conditionalFormatting sqref="F32:F33">
    <cfRule type="expression" priority="9" dxfId="0" stopIfTrue="1">
      <formula>M69=2</formula>
    </cfRule>
  </conditionalFormatting>
  <conditionalFormatting sqref="F34">
    <cfRule type="expression" priority="10" dxfId="0" stopIfTrue="1">
      <formula>M70=2</formula>
    </cfRule>
  </conditionalFormatting>
  <conditionalFormatting sqref="F35">
    <cfRule type="expression" priority="11" dxfId="0" stopIfTrue="1">
      <formula>M69=2</formula>
    </cfRule>
  </conditionalFormatting>
  <conditionalFormatting sqref="B86">
    <cfRule type="expression" priority="12" dxfId="0" stopIfTrue="1">
      <formula>$D$83=2</formula>
    </cfRule>
  </conditionalFormatting>
  <printOptions/>
  <pageMargins left="0.53" right="0.42" top="0.75" bottom="0.5" header="0" footer="0"/>
  <pageSetup horizontalDpi="300" verticalDpi="300" orientation="portrait"/>
</worksheet>
</file>

<file path=xl/worksheets/sheet9.xml><?xml version="1.0" encoding="utf-8"?>
<worksheet xmlns="http://schemas.openxmlformats.org/spreadsheetml/2006/main" xmlns:r="http://schemas.openxmlformats.org/officeDocument/2006/relationships">
  <dimension ref="B1:W83"/>
  <sheetViews>
    <sheetView showGridLines="0" showRowColHeaders="0" zoomScale="95" zoomScaleNormal="95" workbookViewId="0" topLeftCell="A1">
      <selection activeCell="A1" sqref="A1"/>
    </sheetView>
  </sheetViews>
  <sheetFormatPr defaultColWidth="9.140625" defaultRowHeight="15"/>
  <cols>
    <col min="1" max="1" width="2.57421875" style="0" customWidth="1"/>
    <col min="2" max="2" width="45.7109375" style="0" customWidth="1"/>
    <col min="3" max="3" width="10.57421875" style="0" hidden="1" customWidth="1"/>
    <col min="4" max="4" width="15.7109375" style="0" customWidth="1"/>
    <col min="5" max="5" width="15.7109375" style="0" hidden="1" customWidth="1"/>
    <col min="6" max="6" width="16.421875" style="0" customWidth="1"/>
    <col min="7" max="7" width="15.7109375" style="0" customWidth="1"/>
    <col min="8" max="8" width="8.00390625" style="0" hidden="1" customWidth="1"/>
    <col min="9" max="9" width="7.8515625" style="0" hidden="1" customWidth="1"/>
    <col min="10" max="10" width="8.00390625" style="0" hidden="1" customWidth="1"/>
    <col min="11" max="11" width="8.8515625" style="0" hidden="1" customWidth="1"/>
    <col min="12" max="13" width="9.140625" style="0" hidden="1" customWidth="1"/>
    <col min="14" max="14" width="9.8515625" style="0" hidden="1" customWidth="1"/>
    <col min="15" max="15" width="7.8515625" style="0" hidden="1" customWidth="1"/>
    <col min="16" max="16" width="10.00390625" style="0" hidden="1" customWidth="1"/>
    <col min="17" max="18" width="8.8515625" style="0" hidden="1" customWidth="1"/>
    <col min="19" max="20" width="12.57421875" style="28" hidden="1" customWidth="1"/>
    <col min="21" max="21" width="12.00390625" style="40" hidden="1" customWidth="1"/>
    <col min="22" max="22" width="9.140625" style="0" hidden="1" customWidth="1"/>
    <col min="23" max="23" width="9.140625" style="0" customWidth="1"/>
    <col min="24" max="27" width="8.8515625" style="0" customWidth="1"/>
  </cols>
  <sheetData>
    <row r="1" spans="2:21" ht="27.75" customHeight="1">
      <c r="B1" s="38" t="s">
        <v>218</v>
      </c>
      <c r="F1" s="120" t="s">
        <v>126</v>
      </c>
      <c r="G1" s="122" t="s">
        <v>152</v>
      </c>
      <c r="H1" s="47"/>
      <c r="I1" s="47"/>
      <c r="J1" s="47"/>
      <c r="K1" s="160"/>
      <c r="N1" s="162"/>
      <c r="O1" s="162"/>
      <c r="P1" s="162"/>
      <c r="Q1" s="162"/>
      <c r="R1" s="56" t="s">
        <v>200</v>
      </c>
      <c r="S1" s="56"/>
      <c r="T1" s="56"/>
      <c r="U1" s="56"/>
    </row>
    <row r="2" spans="2:21" ht="13.5" customHeight="1">
      <c r="B2" s="164" t="str">
        <f>'Data Entry'!A2</f>
        <v>State : Virginia</v>
      </c>
      <c r="C2" s="135" t="str">
        <f>'Data Entry'!C3</f>
        <v> Reporting Period  7/1/2012</v>
      </c>
      <c r="D2" s="119"/>
      <c r="H2" s="32"/>
      <c r="I2" s="32"/>
      <c r="N2" s="166" t="s">
        <v>42</v>
      </c>
      <c r="O2" s="160"/>
      <c r="P2" s="160"/>
      <c r="Q2" s="160"/>
      <c r="R2" s="56"/>
      <c r="S2" s="56"/>
      <c r="T2" s="56"/>
      <c r="U2" s="56"/>
    </row>
    <row r="3" spans="2:21" ht="13.5" customHeight="1">
      <c r="B3" s="164" t="str">
        <f>'Data Entry'!A3</f>
        <v>County : Statewide</v>
      </c>
      <c r="C3" s="85" t="str">
        <f>'Data Entry'!C4</f>
        <v>through  6/30/2013</v>
      </c>
      <c r="D3" s="119"/>
      <c r="E3" s="102"/>
      <c r="F3" s="48" t="s">
        <v>197</v>
      </c>
      <c r="G3" s="48" t="str">
        <f>'Data Entry'!$K$5</f>
        <v>White</v>
      </c>
      <c r="H3" s="33"/>
      <c r="I3" s="33"/>
      <c r="J3" s="33"/>
      <c r="K3" s="33"/>
      <c r="N3" s="160"/>
      <c r="O3" s="160"/>
      <c r="P3" s="160"/>
      <c r="Q3" s="160"/>
      <c r="R3" s="56"/>
      <c r="S3" s="56"/>
      <c r="T3" s="56"/>
      <c r="U3" s="56"/>
    </row>
    <row r="4" spans="2:21" ht="8.25" customHeight="1">
      <c r="B4" s="130"/>
      <c r="C4" s="154"/>
      <c r="D4" s="154"/>
      <c r="E4" s="154"/>
      <c r="F4" s="154"/>
      <c r="G4" s="66"/>
      <c r="H4" s="66"/>
      <c r="I4" s="66"/>
      <c r="J4" s="8"/>
      <c r="K4" s="8"/>
      <c r="N4" s="160"/>
      <c r="O4" s="160"/>
      <c r="P4" s="160"/>
      <c r="Q4" s="160"/>
      <c r="R4" s="56"/>
      <c r="S4" s="56"/>
      <c r="T4" s="56"/>
      <c r="U4" s="56"/>
    </row>
    <row r="5" spans="2:23" ht="66.75" customHeight="1" thickBot="1">
      <c r="B5" s="107" t="s">
        <v>1</v>
      </c>
      <c r="C5" s="20" t="s">
        <v>236</v>
      </c>
      <c r="D5" s="161" t="s">
        <v>189</v>
      </c>
      <c r="E5" s="20" t="s">
        <v>148</v>
      </c>
      <c r="F5" s="20" t="s">
        <v>136</v>
      </c>
      <c r="G5" s="93" t="s">
        <v>98</v>
      </c>
      <c r="H5" s="80"/>
      <c r="I5" s="80"/>
      <c r="J5" s="108" t="s">
        <v>191</v>
      </c>
      <c r="K5" s="73" t="s">
        <v>154</v>
      </c>
      <c r="L5" s="160" t="s">
        <v>70</v>
      </c>
      <c r="M5" s="160" t="s">
        <v>203</v>
      </c>
      <c r="N5" s="153" t="s">
        <v>107</v>
      </c>
      <c r="O5" s="162" t="s">
        <v>125</v>
      </c>
      <c r="P5" s="162" t="s">
        <v>213</v>
      </c>
      <c r="Q5" s="162" t="s">
        <v>227</v>
      </c>
      <c r="R5" t="s">
        <v>32</v>
      </c>
      <c r="S5" s="160" t="s">
        <v>63</v>
      </c>
      <c r="T5" t="s">
        <v>226</v>
      </c>
      <c r="U5" t="s">
        <v>127</v>
      </c>
      <c r="W5" s="160"/>
    </row>
    <row r="6" spans="2:21" ht="20.25" customHeight="1" thickBot="1">
      <c r="B6" s="115" t="str">
        <f>'Data Entry'!A6</f>
        <v>1. Population at risk (age 10  through 17 ) </v>
      </c>
      <c r="C6" s="159">
        <f>'Data Entry'!K6</f>
        <v>482993</v>
      </c>
      <c r="D6" s="156"/>
      <c r="E6" s="159">
        <f>'Data Entry'!L6</f>
        <v>345228</v>
      </c>
      <c r="F6" s="156"/>
      <c r="G6" s="84"/>
      <c r="H6" s="16"/>
      <c r="I6" s="78"/>
      <c r="J6" s="57"/>
      <c r="K6" s="127"/>
      <c r="L6">
        <f>IF(('Data Entry'!J6&gt;('Data Entry'!B6/100)),1,100)</f>
        <v>1</v>
      </c>
      <c r="M6" t="s">
        <v>81</v>
      </c>
      <c r="N6" s="162"/>
      <c r="O6" s="162"/>
      <c r="P6" s="162"/>
      <c r="Q6" s="162"/>
      <c r="S6"/>
      <c r="T6"/>
      <c r="U6"/>
    </row>
    <row r="7" spans="2:21" ht="18" customHeight="1" thickBot="1">
      <c r="B7" s="115" t="str">
        <f>'Data Entry'!A7</f>
        <v>2. Juvenile Arrests </v>
      </c>
      <c r="C7" s="159">
        <f>'Data Entry'!K7</f>
        <v>0</v>
      </c>
      <c r="D7" s="68">
        <f>IF((AND(C66&gt;0,C7&gt;0)),(C7/C66),0)</f>
        <v>0</v>
      </c>
      <c r="E7" s="159">
        <f>'Data Entry'!L7</f>
        <v>0</v>
      </c>
      <c r="F7" s="68">
        <f>IF((AND($E$7&gt;0,$D$66&gt;0)),($E$7/$D$66),0)</f>
        <v>0</v>
      </c>
      <c r="G7" s="138" t="str">
        <f aca="true" t="shared" si="0" ref="G7:G15">IF(L$6=100,"*",IF(M7=FALSE,"--",IF(K7=20,"**",($F7/$D7))))</f>
        <v>**</v>
      </c>
      <c r="H7" s="55"/>
      <c r="I7" s="64"/>
      <c r="J7" s="23">
        <f>IF((ABS($U7)&gt;Defaults!D$7),1,2)</f>
        <v>2</v>
      </c>
      <c r="K7" s="15">
        <f>IF((AND(N7&gt;Defaults!B$12,(N7+O7)&gt;Defaults!B$13,P7&gt;Defaults!B$12,(P7+Q7)&gt;Defaults!B$13)),1,20)</f>
        <v>20</v>
      </c>
      <c r="L7">
        <f aca="true" t="shared" si="1" ref="L7:L15">(J7*K7+L$6)-1</f>
        <v>40</v>
      </c>
      <c r="M7" t="b">
        <f aca="true" t="shared" si="2" ref="M7:M15">(ISNUMBER(J7))</f>
        <v>1</v>
      </c>
      <c r="N7" s="123">
        <f aca="true" t="shared" si="3" ref="N7:N15">E7</f>
        <v>0</v>
      </c>
      <c r="O7" s="123">
        <f>E6-E7</f>
        <v>345228</v>
      </c>
      <c r="P7" s="123">
        <f aca="true" t="shared" si="4" ref="P7:P15">C7</f>
        <v>0</v>
      </c>
      <c r="Q7" s="123">
        <f>C6-C7</f>
        <v>482993</v>
      </c>
      <c r="R7">
        <f>0.05+(D7*(D66))</f>
        <v>0.05</v>
      </c>
      <c r="S7">
        <f aca="true" t="shared" si="5" ref="S7:S15">ROUND(R7-E7,0)</f>
        <v>0</v>
      </c>
      <c r="T7">
        <f aca="true" t="shared" si="6" ref="T7:T15">S7^2</f>
        <v>0</v>
      </c>
      <c r="U7">
        <f aca="true" t="shared" si="7" ref="U7:U15">T7/R7</f>
        <v>0</v>
      </c>
    </row>
    <row r="8" spans="2:21" ht="18" customHeight="1" thickBot="1">
      <c r="B8" s="115" t="str">
        <f>'Data Entry'!A8</f>
        <v>3. Refer to Juvenile Court</v>
      </c>
      <c r="C8" s="159">
        <f>'Data Entry'!K8</f>
        <v>18677</v>
      </c>
      <c r="D8" s="68">
        <f>IF((AND(C67&gt;0,C8&gt;0)),(C8/C67),0)</f>
        <v>38.669297484642634</v>
      </c>
      <c r="E8" s="159">
        <f>'Data Entry'!L8</f>
        <v>24970</v>
      </c>
      <c r="F8" s="68">
        <f>IF((AND($E$8&gt;0,$D$67&gt;0)),($E8/$D67),0)</f>
        <v>72.32901155178607</v>
      </c>
      <c r="G8" s="138">
        <f t="shared" si="0"/>
        <v>1.870450622499963</v>
      </c>
      <c r="H8" s="55"/>
      <c r="I8" s="64"/>
      <c r="J8" s="23">
        <f>IF((ABS($U8)&gt;Defaults!D$7),1,2)</f>
        <v>1</v>
      </c>
      <c r="K8" s="15">
        <f>IF((AND(N8&gt;Defaults!B$12,(N8+O8)&gt;Defaults!B$13,P8&gt;Defaults!B$12,(P8+Q8)&gt;Defaults!B$13)),1,20)</f>
        <v>1</v>
      </c>
      <c r="L8">
        <f t="shared" si="1"/>
        <v>1</v>
      </c>
      <c r="M8" t="b">
        <f t="shared" si="2"/>
        <v>1</v>
      </c>
      <c r="N8" s="123">
        <f t="shared" si="3"/>
        <v>24970</v>
      </c>
      <c r="O8" s="123">
        <f>((D67*L67)-E8)+0.05</f>
        <v>320258.05</v>
      </c>
      <c r="P8" s="123">
        <f t="shared" si="4"/>
        <v>18677</v>
      </c>
      <c r="Q8" s="123">
        <f>(C$67*L67)-C8</f>
        <v>464316</v>
      </c>
      <c r="R8">
        <f>D8*D67+0.05</f>
        <v>13349.774232028207</v>
      </c>
      <c r="S8">
        <f t="shared" si="5"/>
        <v>-11620</v>
      </c>
      <c r="T8">
        <f t="shared" si="6"/>
        <v>135024400</v>
      </c>
      <c r="U8">
        <f t="shared" si="7"/>
        <v>10114.358314469113</v>
      </c>
    </row>
    <row r="9" spans="2:21" ht="18" customHeight="1" thickBot="1">
      <c r="B9" s="115" t="str">
        <f>'Data Entry'!A9</f>
        <v>4. Cases Diverted </v>
      </c>
      <c r="C9" s="159">
        <f>'Data Entry'!K9</f>
        <v>2998</v>
      </c>
      <c r="D9" s="68">
        <f>IF((AND(C68&gt;0,C9&gt;0)),((C9/C68)),0)</f>
        <v>16.051828452106868</v>
      </c>
      <c r="E9" s="159">
        <f>'Data Entry'!L9</f>
        <v>3493</v>
      </c>
      <c r="F9" s="68">
        <f>IF((AND($E$9&gt;0,$D$68&gt;0)),(($E$9/$D$68)),0)</f>
        <v>13.988786543852624</v>
      </c>
      <c r="G9" s="138">
        <f t="shared" si="0"/>
        <v>0.8714762050684973</v>
      </c>
      <c r="H9" s="55"/>
      <c r="I9" s="64"/>
      <c r="J9" s="23">
        <f>IF((ABS($U9)&gt;Defaults!D$7),1,2)</f>
        <v>1</v>
      </c>
      <c r="K9" s="15">
        <f>IF((AND(N9&gt;Defaults!B$12,(N9+O9)&gt;Defaults!B$13,P9&gt;Defaults!B$12,(P9+Q9)&gt;Defaults!B$13)),1,20)</f>
        <v>1</v>
      </c>
      <c r="L9">
        <f t="shared" si="1"/>
        <v>1</v>
      </c>
      <c r="M9" t="b">
        <f t="shared" si="2"/>
        <v>1</v>
      </c>
      <c r="N9" s="123">
        <f t="shared" si="3"/>
        <v>3493</v>
      </c>
      <c r="O9" s="123">
        <f>(D$68*L68)-E9</f>
        <v>21477</v>
      </c>
      <c r="P9" s="123">
        <f t="shared" si="4"/>
        <v>2998</v>
      </c>
      <c r="Q9" s="123">
        <f>(C$68*L68)-C9</f>
        <v>15679</v>
      </c>
      <c r="R9">
        <f>D9*D68+0.05</f>
        <v>4008.191564491085</v>
      </c>
      <c r="S9">
        <f t="shared" si="5"/>
        <v>515</v>
      </c>
      <c r="T9">
        <f t="shared" si="6"/>
        <v>265225</v>
      </c>
      <c r="U9">
        <f t="shared" si="7"/>
        <v>66.17073952992945</v>
      </c>
    </row>
    <row r="10" spans="2:21" ht="18" customHeight="1" thickBot="1">
      <c r="B10" s="115" t="str">
        <f>'Data Entry'!A10</f>
        <v>5. Cases Involving Secure Detention</v>
      </c>
      <c r="C10" s="159">
        <f>'Data Entry'!K10</f>
        <v>2398</v>
      </c>
      <c r="D10" s="68">
        <f>IF(((AND(C68&gt;0,C10&gt;0))),(C10/(C68)),0)</f>
        <v>12.83932109011083</v>
      </c>
      <c r="E10" s="159">
        <f>'Data Entry'!L10</f>
        <v>5221</v>
      </c>
      <c r="F10" s="68">
        <f>IF(((AND($E$10&gt;0,$D$68&gt;0))),($E$10/($D$68)),0)</f>
        <v>20.90909090909091</v>
      </c>
      <c r="G10" s="138">
        <f t="shared" si="0"/>
        <v>1.6285199787701874</v>
      </c>
      <c r="H10" s="55"/>
      <c r="I10" s="64"/>
      <c r="J10" s="23">
        <f>IF((ABS($U10)&gt;Defaults!D$7),1,2)</f>
        <v>1</v>
      </c>
      <c r="K10" s="15">
        <f>IF((AND(N10&gt;Defaults!B$12,(N10+O10)&gt;Defaults!B$13,P10&gt;Defaults!B$12,(P10+Q10)&gt;Defaults!B$13)),1,20)</f>
        <v>1</v>
      </c>
      <c r="L10">
        <f t="shared" si="1"/>
        <v>1</v>
      </c>
      <c r="M10" t="b">
        <f t="shared" si="2"/>
        <v>1</v>
      </c>
      <c r="N10" s="123">
        <f t="shared" si="3"/>
        <v>5221</v>
      </c>
      <c r="O10" s="123">
        <f>(D$68*L68)-E10</f>
        <v>19749</v>
      </c>
      <c r="P10" s="123">
        <f t="shared" si="4"/>
        <v>2398</v>
      </c>
      <c r="Q10" s="123">
        <f>(C$68*L68)-C10</f>
        <v>16279</v>
      </c>
      <c r="R10">
        <f>D10*D68+0.05</f>
        <v>3206.0284762006745</v>
      </c>
      <c r="S10">
        <f t="shared" si="5"/>
        <v>-2015</v>
      </c>
      <c r="T10">
        <f t="shared" si="6"/>
        <v>4060225</v>
      </c>
      <c r="U10">
        <f t="shared" si="7"/>
        <v>1266.4344780903496</v>
      </c>
    </row>
    <row r="11" spans="2:21" ht="18" customHeight="1" thickBot="1">
      <c r="B11" s="115" t="str">
        <f>'Data Entry'!A11</f>
        <v>6. Cases Petitioned (Charge Filed)</v>
      </c>
      <c r="C11" s="159">
        <f>'Data Entry'!K11</f>
        <v>12374</v>
      </c>
      <c r="D11" s="68">
        <f>IF(((AND(C68&gt;0,C11&gt;0))),(C11/(C68)),0)</f>
        <v>66.25261016223162</v>
      </c>
      <c r="E11" s="159">
        <f>'Data Entry'!L11</f>
        <v>17148</v>
      </c>
      <c r="F11" s="68">
        <f>IF(((AND($E$11&gt;0,$D$68&gt;0))),($E$11/($D$68)),0)</f>
        <v>68.67440929114939</v>
      </c>
      <c r="G11" s="138">
        <f t="shared" si="0"/>
        <v>1.0365540183698054</v>
      </c>
      <c r="H11" s="55"/>
      <c r="I11" s="64"/>
      <c r="J11" s="23">
        <f>IF((ABS($U11)&gt;Defaults!D$7),1,2)</f>
        <v>1</v>
      </c>
      <c r="K11" s="15">
        <f>IF((AND(N11&gt;Defaults!B$12,(N11+O11)&gt;Defaults!B$13,P11&gt;Defaults!B$12,(P11+Q11)&gt;Defaults!B$13)),1,20)</f>
        <v>1</v>
      </c>
      <c r="L11">
        <f t="shared" si="1"/>
        <v>1</v>
      </c>
      <c r="M11" t="b">
        <f t="shared" si="2"/>
        <v>1</v>
      </c>
      <c r="N11" s="123">
        <f t="shared" si="3"/>
        <v>17148</v>
      </c>
      <c r="O11" s="123">
        <f>(D$68*L68)-E11</f>
        <v>7822</v>
      </c>
      <c r="P11" s="123">
        <f t="shared" si="4"/>
        <v>12374</v>
      </c>
      <c r="Q11" s="123">
        <f>(C$68*L68)-C11</f>
        <v>6303</v>
      </c>
      <c r="R11">
        <f>D11*D68+0.05</f>
        <v>16543.326757509232</v>
      </c>
      <c r="S11">
        <f t="shared" si="5"/>
        <v>-605</v>
      </c>
      <c r="T11">
        <f t="shared" si="6"/>
        <v>366025</v>
      </c>
      <c r="U11">
        <f t="shared" si="7"/>
        <v>22.12523547199214</v>
      </c>
    </row>
    <row r="12" spans="2:21" ht="18" customHeight="1" thickBot="1">
      <c r="B12" s="115" t="str">
        <f>'Data Entry'!A12</f>
        <v>7. Cases Resulting in Delinquent Findings</v>
      </c>
      <c r="C12" s="159">
        <f>'Data Entry'!K12</f>
        <v>3316</v>
      </c>
      <c r="D12" s="68">
        <f>IF(((AND(C69&gt;0,C12&gt;0))),(C12/(C69)),0)</f>
        <v>26.798125101018265</v>
      </c>
      <c r="E12" s="159">
        <f>'Data Entry'!L12</f>
        <v>5908</v>
      </c>
      <c r="F12" s="68">
        <f>IF(((AND($D$69&gt;0,$E$12&gt;0))),(E12/(D69)),0)</f>
        <v>34.452997434103104</v>
      </c>
      <c r="G12" s="138">
        <f t="shared" si="0"/>
        <v>1.2856495484004578</v>
      </c>
      <c r="H12" s="55"/>
      <c r="I12" s="64"/>
      <c r="J12" s="23">
        <f>IF((ABS($U12)&gt;Defaults!D$7),1,2)</f>
        <v>1</v>
      </c>
      <c r="K12" s="15">
        <f>IF((AND(N12&gt;Defaults!B$12,(N12+O12)&gt;Defaults!B$13,P12&gt;Defaults!B$12,(P12+Q12)&gt;Defaults!B$13)),1,20)</f>
        <v>1</v>
      </c>
      <c r="L12">
        <f t="shared" si="1"/>
        <v>1</v>
      </c>
      <c r="M12" t="b">
        <f t="shared" si="2"/>
        <v>1</v>
      </c>
      <c r="N12" s="123">
        <f t="shared" si="3"/>
        <v>5908</v>
      </c>
      <c r="O12" s="123">
        <f>(D69*L69)-E12</f>
        <v>11240</v>
      </c>
      <c r="P12" s="123">
        <f t="shared" si="4"/>
        <v>3316</v>
      </c>
      <c r="Q12" s="123">
        <f>(C69*L69)-C12</f>
        <v>9058</v>
      </c>
      <c r="R12">
        <f>D12*D69+0.05</f>
        <v>4595.392492322612</v>
      </c>
      <c r="S12">
        <f t="shared" si="5"/>
        <v>-1313</v>
      </c>
      <c r="T12">
        <f t="shared" si="6"/>
        <v>1723969</v>
      </c>
      <c r="U12">
        <f t="shared" si="7"/>
        <v>375.15163348510157</v>
      </c>
    </row>
    <row r="13" spans="2:21" ht="18" customHeight="1" thickBot="1">
      <c r="B13" s="115" t="str">
        <f>'Data Entry'!A13</f>
        <v>8. Cases resulting in Probation Placement</v>
      </c>
      <c r="C13" s="159">
        <f>'Data Entry'!K13</f>
        <v>2032</v>
      </c>
      <c r="D13" s="68">
        <f>IF(((AND(C70&gt;0,C13&gt;0))),(C13/(C70)),0)</f>
        <v>61.27864897466828</v>
      </c>
      <c r="E13" s="159">
        <f>'Data Entry'!L13</f>
        <v>2847</v>
      </c>
      <c r="F13" s="68">
        <f>IF(((AND($D$70&gt;0,$E$13&gt;0))),($E$13/($D$70)),0)</f>
        <v>48.18889641164523</v>
      </c>
      <c r="G13" s="138">
        <f t="shared" si="0"/>
        <v>0.7863896678199586</v>
      </c>
      <c r="H13" s="55"/>
      <c r="I13" s="64"/>
      <c r="J13" s="23">
        <f>IF((ABS($U13)&gt;Defaults!D$7),1,2)</f>
        <v>1</v>
      </c>
      <c r="K13" s="15">
        <f>IF((AND(N13&gt;Defaults!B$12,(N13+O13)&gt;Defaults!B$13,P13&gt;Defaults!B$12,(P13+Q13)&gt;Defaults!B$13)),1,20)</f>
        <v>1</v>
      </c>
      <c r="L13">
        <f t="shared" si="1"/>
        <v>1</v>
      </c>
      <c r="M13" t="b">
        <f t="shared" si="2"/>
        <v>1</v>
      </c>
      <c r="N13" s="123">
        <f t="shared" si="3"/>
        <v>2847</v>
      </c>
      <c r="O13" s="123">
        <f>(D70*L70)-E13</f>
        <v>3061</v>
      </c>
      <c r="P13" s="123">
        <f t="shared" si="4"/>
        <v>2032</v>
      </c>
      <c r="Q13" s="123">
        <f>(C70*L70)-C13</f>
        <v>1283.9999999999995</v>
      </c>
      <c r="R13">
        <f>D13*D70+0.05</f>
        <v>3620.392581423402</v>
      </c>
      <c r="S13">
        <f t="shared" si="5"/>
        <v>773</v>
      </c>
      <c r="T13">
        <f t="shared" si="6"/>
        <v>597529</v>
      </c>
      <c r="U13">
        <f t="shared" si="7"/>
        <v>165.0453608445618</v>
      </c>
    </row>
    <row r="14" spans="2:21" ht="30.75" thickBot="1">
      <c r="B14" s="115" t="str">
        <f>'Data Entry'!A14</f>
        <v>9. Cases Resulting in Confinement in Secure    Juvenile Correctional Facilities </v>
      </c>
      <c r="C14" s="159">
        <f>'Data Entry'!K14</f>
        <v>121</v>
      </c>
      <c r="D14" s="68">
        <f>IF(((AND(C70&gt;0,C14&gt;0))),((C14/(C70))),0)</f>
        <v>3.6489746682750304</v>
      </c>
      <c r="E14" s="159">
        <f>'Data Entry'!L14</f>
        <v>371</v>
      </c>
      <c r="F14" s="68">
        <f>IF(((AND($D$70&gt;0,$E$14&gt;0))),(($E$14/($D$70))),0)</f>
        <v>6.279620853080569</v>
      </c>
      <c r="G14" s="138">
        <f t="shared" si="0"/>
        <v>1.7209274999020798</v>
      </c>
      <c r="H14" s="55"/>
      <c r="I14" s="64"/>
      <c r="J14" s="23">
        <f>IF((ABS($U14)&gt;Defaults!D$7),1,2)</f>
        <v>1</v>
      </c>
      <c r="K14" s="15">
        <f>IF((AND(N14&gt;Defaults!B$12,(N14+O14)&gt;Defaults!B$13,P14&gt;Defaults!B$12,(P14+Q14)&gt;Defaults!B$13)),1,20)</f>
        <v>1</v>
      </c>
      <c r="L14">
        <f t="shared" si="1"/>
        <v>1</v>
      </c>
      <c r="M14" t="b">
        <f t="shared" si="2"/>
        <v>1</v>
      </c>
      <c r="N14" s="123">
        <f t="shared" si="3"/>
        <v>371</v>
      </c>
      <c r="O14" s="123">
        <f>(D70*L70)-E14</f>
        <v>5537</v>
      </c>
      <c r="P14" s="123">
        <f t="shared" si="4"/>
        <v>121</v>
      </c>
      <c r="Q14" s="123">
        <f>(C70*L70)-C14</f>
        <v>3194.9999999999995</v>
      </c>
      <c r="R14">
        <f>D14*D70+0.05</f>
        <v>215.6314234016888</v>
      </c>
      <c r="S14">
        <f t="shared" si="5"/>
        <v>-155</v>
      </c>
      <c r="T14">
        <f t="shared" si="6"/>
        <v>24025</v>
      </c>
      <c r="U14">
        <f t="shared" si="7"/>
        <v>111.4169707781646</v>
      </c>
    </row>
    <row r="15" spans="2:21" ht="15.75" thickBot="1">
      <c r="B15" s="115" t="str">
        <f>'Data Entry'!A15</f>
        <v>10. Cases Transferred to Adult Court </v>
      </c>
      <c r="C15" s="159">
        <f>'Data Entry'!K15</f>
        <v>0</v>
      </c>
      <c r="D15" s="68">
        <f>IF(((AND(C69&gt;0,C15&gt;0))),((C15/(C69))),0)</f>
        <v>0</v>
      </c>
      <c r="E15" s="159">
        <f>'Data Entry'!L15</f>
        <v>0</v>
      </c>
      <c r="F15" s="68">
        <f>IF(((AND($D$69&gt;0,$E$15&gt;0))),(($E$15/($D$69))),0)</f>
        <v>0</v>
      </c>
      <c r="G15" s="138" t="str">
        <f t="shared" si="0"/>
        <v>**</v>
      </c>
      <c r="H15" s="55"/>
      <c r="I15" s="64"/>
      <c r="J15" s="23">
        <f>IF((ABS($U15)&gt;Defaults!D$7),1,2)</f>
        <v>2</v>
      </c>
      <c r="K15" s="15">
        <f>IF((AND(N15&gt;Defaults!B$12,(N15+O15)&gt;Defaults!B$13,P15&gt;Defaults!B$12,(P15+Q15)&gt;Defaults!B$13)),1,20)</f>
        <v>20</v>
      </c>
      <c r="L15">
        <f t="shared" si="1"/>
        <v>40</v>
      </c>
      <c r="M15" t="b">
        <f t="shared" si="2"/>
        <v>1</v>
      </c>
      <c r="N15" s="123">
        <f t="shared" si="3"/>
        <v>0</v>
      </c>
      <c r="O15" s="123">
        <f>(D69*L69)-E15</f>
        <v>17148</v>
      </c>
      <c r="P15" s="123">
        <f t="shared" si="4"/>
        <v>0</v>
      </c>
      <c r="Q15" s="123">
        <f>(C69*L69)-C15</f>
        <v>12374</v>
      </c>
      <c r="R15">
        <f>D15*D69+0.05</f>
        <v>0.05</v>
      </c>
      <c r="S15">
        <f t="shared" si="5"/>
        <v>0</v>
      </c>
      <c r="T15">
        <f t="shared" si="6"/>
        <v>0</v>
      </c>
      <c r="U15">
        <f t="shared" si="7"/>
        <v>0</v>
      </c>
    </row>
    <row r="16" spans="2:21" ht="12" customHeight="1">
      <c r="B16" s="103" t="s">
        <v>40</v>
      </c>
      <c r="C16" s="63"/>
      <c r="D16" s="63"/>
      <c r="E16" s="63"/>
      <c r="F16" s="63"/>
      <c r="G16" s="63"/>
      <c r="H16" s="63"/>
      <c r="I16" s="63"/>
      <c r="N16" s="162"/>
      <c r="O16" s="162"/>
      <c r="P16" s="162"/>
      <c r="Q16" s="162"/>
      <c r="S16"/>
      <c r="T16"/>
      <c r="U16"/>
    </row>
    <row r="17" spans="2:21" ht="26.25" customHeight="1">
      <c r="B17" s="103"/>
      <c r="C17" s="63"/>
      <c r="D17" s="63"/>
      <c r="E17" s="63"/>
      <c r="F17" s="63"/>
      <c r="G17" s="63"/>
      <c r="H17" s="63"/>
      <c r="I17" s="63"/>
      <c r="N17" s="162"/>
      <c r="O17" s="162"/>
      <c r="P17" s="162"/>
      <c r="Q17" s="162"/>
      <c r="S17"/>
      <c r="T17"/>
      <c r="U17"/>
    </row>
    <row r="18" spans="2:21" ht="15">
      <c r="B18" t="s">
        <v>113</v>
      </c>
      <c r="N18" s="49"/>
      <c r="O18" s="49"/>
      <c r="P18" s="49"/>
      <c r="Q18" s="49"/>
      <c r="S18"/>
      <c r="T18"/>
      <c r="U18"/>
    </row>
    <row r="19" spans="2:21" ht="15">
      <c r="B19" t="s">
        <v>151</v>
      </c>
      <c r="D19" s="61" t="s">
        <v>118</v>
      </c>
      <c r="N19" s="49"/>
      <c r="O19" s="49"/>
      <c r="P19" s="49"/>
      <c r="Q19" s="49"/>
      <c r="S19"/>
      <c r="T19"/>
      <c r="U19"/>
    </row>
    <row r="20" spans="2:21" ht="15">
      <c r="B20" t="s">
        <v>34</v>
      </c>
      <c r="D20" t="s">
        <v>57</v>
      </c>
      <c r="N20" s="49"/>
      <c r="O20" s="49"/>
      <c r="P20" s="49"/>
      <c r="Q20" s="49"/>
      <c r="S20"/>
      <c r="T20"/>
      <c r="U20"/>
    </row>
    <row r="21" spans="2:21" ht="15">
      <c r="B21" t="s">
        <v>199</v>
      </c>
      <c r="D21" t="s">
        <v>195</v>
      </c>
      <c r="N21" s="49"/>
      <c r="O21" s="49"/>
      <c r="P21" s="49"/>
      <c r="Q21" s="49"/>
      <c r="S21"/>
      <c r="T21"/>
      <c r="U21"/>
    </row>
    <row r="22" spans="2:21" ht="15">
      <c r="B22" t="s">
        <v>103</v>
      </c>
      <c r="D22" t="s">
        <v>214</v>
      </c>
      <c r="N22" s="49"/>
      <c r="O22" s="49"/>
      <c r="P22" s="49"/>
      <c r="Q22" s="49"/>
      <c r="S22"/>
      <c r="T22"/>
      <c r="U22"/>
    </row>
    <row r="23" spans="2:21" ht="15">
      <c r="B23" t="s">
        <v>129</v>
      </c>
      <c r="D23" s="163" t="s">
        <v>180</v>
      </c>
      <c r="K23" t="s">
        <v>70</v>
      </c>
      <c r="N23" s="49"/>
      <c r="O23" s="49"/>
      <c r="P23" s="49"/>
      <c r="Q23" s="49"/>
      <c r="S23"/>
      <c r="T23"/>
      <c r="U23"/>
    </row>
    <row r="24" spans="2:21" ht="26.25" customHeight="1">
      <c r="B24" s="103"/>
      <c r="C24" s="63"/>
      <c r="D24" s="63"/>
      <c r="E24" s="63"/>
      <c r="F24" s="63"/>
      <c r="G24" s="63"/>
      <c r="H24" s="63"/>
      <c r="I24" s="63"/>
      <c r="N24" s="162"/>
      <c r="O24" s="162"/>
      <c r="P24" s="162"/>
      <c r="Q24" s="162"/>
      <c r="S24"/>
      <c r="T24"/>
      <c r="U24"/>
    </row>
    <row r="25" spans="2:21" ht="15">
      <c r="B25" s="117" t="s">
        <v>96</v>
      </c>
      <c r="K25" t="s">
        <v>198</v>
      </c>
      <c r="L25" t="s">
        <v>2</v>
      </c>
      <c r="N25" s="162"/>
      <c r="O25" s="162" t="b">
        <f>ISBLANK(N12)</f>
        <v>0</v>
      </c>
      <c r="P25" s="162"/>
      <c r="Q25" s="162"/>
      <c r="S25"/>
      <c r="T25"/>
      <c r="U25"/>
    </row>
    <row r="26" spans="2:21" ht="15" customHeight="1">
      <c r="B26" s="95" t="s">
        <v>78</v>
      </c>
      <c r="C26" s="142"/>
      <c r="D26" s="142"/>
      <c r="E26" s="142"/>
      <c r="F26" s="95" t="s">
        <v>207</v>
      </c>
      <c r="G26" s="95"/>
      <c r="H26" s="95"/>
      <c r="I26" s="95"/>
      <c r="J26" s="95"/>
      <c r="K26" s="157" t="s">
        <v>180</v>
      </c>
      <c r="L26" s="97" t="s">
        <v>217</v>
      </c>
      <c r="M26" s="97"/>
      <c r="N26" s="49"/>
      <c r="O26" s="49"/>
      <c r="P26" s="49"/>
      <c r="Q26" s="49"/>
      <c r="S26"/>
      <c r="T26"/>
      <c r="U26"/>
    </row>
    <row r="27" spans="2:21" ht="15" customHeight="1">
      <c r="B27" s="6" t="s">
        <v>9</v>
      </c>
      <c r="C27" s="6"/>
      <c r="D27" s="6"/>
      <c r="E27" s="6"/>
      <c r="F27" s="6" t="str">
        <f>B66</f>
        <v>per 1000 youth</v>
      </c>
      <c r="G27" s="6"/>
      <c r="H27" s="6"/>
      <c r="I27" s="6"/>
      <c r="J27" s="6">
        <f>F66</f>
        <v>0</v>
      </c>
      <c r="K27" s="6" t="s">
        <v>214</v>
      </c>
      <c r="L27" s="54" t="s">
        <v>161</v>
      </c>
      <c r="M27" s="142"/>
      <c r="N27" s="49"/>
      <c r="O27" s="49"/>
      <c r="P27" s="49"/>
      <c r="Q27" s="49"/>
      <c r="S27"/>
      <c r="T27"/>
      <c r="U27"/>
    </row>
    <row r="28" spans="2:21" ht="15" customHeight="1">
      <c r="B28" s="6" t="s">
        <v>94</v>
      </c>
      <c r="C28" s="6"/>
      <c r="D28" s="6"/>
      <c r="E28" s="6"/>
      <c r="F28" s="89" t="str">
        <f>B67</f>
        <v>per 1000 youth</v>
      </c>
      <c r="G28" s="89"/>
      <c r="H28" s="89"/>
      <c r="I28" s="89"/>
      <c r="J28" s="89"/>
      <c r="K28" s="89" t="s">
        <v>195</v>
      </c>
      <c r="L28" s="104" t="s">
        <v>26</v>
      </c>
      <c r="M28" s="142"/>
      <c r="N28" s="49"/>
      <c r="O28" s="49"/>
      <c r="P28" s="49"/>
      <c r="Q28" s="49"/>
      <c r="S28"/>
      <c r="T28"/>
      <c r="U28"/>
    </row>
    <row r="29" spans="2:21" ht="15" customHeight="1">
      <c r="B29" s="89" t="s">
        <v>158</v>
      </c>
      <c r="C29" s="89"/>
      <c r="D29" s="89"/>
      <c r="E29" s="89"/>
      <c r="F29" s="89" t="str">
        <f>B68</f>
        <v>per 100 referrals</v>
      </c>
      <c r="G29" s="89"/>
      <c r="H29" s="89"/>
      <c r="I29" s="89"/>
      <c r="J29" s="89"/>
      <c r="K29" s="89"/>
      <c r="L29" s="104"/>
      <c r="M29" s="142"/>
      <c r="N29" s="49"/>
      <c r="O29" s="49"/>
      <c r="P29" s="49"/>
      <c r="Q29" s="49"/>
      <c r="S29"/>
      <c r="T29"/>
      <c r="U29"/>
    </row>
    <row r="30" spans="2:21" ht="15" customHeight="1">
      <c r="B30" s="89" t="s">
        <v>48</v>
      </c>
      <c r="C30" s="89"/>
      <c r="D30" s="89"/>
      <c r="E30" s="89"/>
      <c r="F30" s="89" t="str">
        <f>B68</f>
        <v>per 100 referrals</v>
      </c>
      <c r="G30" s="89"/>
      <c r="H30" s="89"/>
      <c r="I30" s="89"/>
      <c r="J30" s="89"/>
      <c r="K30" s="89"/>
      <c r="L30" s="104"/>
      <c r="M30" s="142"/>
      <c r="N30" s="49" t="b">
        <f>ISNUMBER(J14)</f>
        <v>1</v>
      </c>
      <c r="O30" s="49"/>
      <c r="P30" s="49"/>
      <c r="Q30" s="49"/>
      <c r="S30"/>
      <c r="T30"/>
      <c r="U30"/>
    </row>
    <row r="31" spans="2:21" ht="15" customHeight="1">
      <c r="B31" s="89" t="s">
        <v>20</v>
      </c>
      <c r="C31" s="89"/>
      <c r="D31" s="89"/>
      <c r="E31" s="89"/>
      <c r="F31" s="89" t="str">
        <f>B68</f>
        <v>per 100 referrals</v>
      </c>
      <c r="G31" s="89"/>
      <c r="H31" s="89"/>
      <c r="I31" s="89"/>
      <c r="J31" s="89"/>
      <c r="K31" s="89"/>
      <c r="L31" s="104"/>
      <c r="M31" s="142"/>
      <c r="N31" s="49"/>
      <c r="O31" s="49"/>
      <c r="P31" s="49"/>
      <c r="Q31" s="49"/>
      <c r="S31"/>
      <c r="T31"/>
      <c r="U31"/>
    </row>
    <row r="32" spans="2:21" ht="15" customHeight="1">
      <c r="B32" s="89" t="s">
        <v>41</v>
      </c>
      <c r="C32" s="89"/>
      <c r="D32" s="89"/>
      <c r="E32" s="89"/>
      <c r="F32" s="89" t="str">
        <f>B69</f>
        <v>per 100 youth petitioned</v>
      </c>
      <c r="G32" s="89"/>
      <c r="H32" s="89"/>
      <c r="I32" s="89"/>
      <c r="J32" s="89"/>
      <c r="K32" s="89"/>
      <c r="L32" s="104"/>
      <c r="M32" s="142"/>
      <c r="N32" s="49"/>
      <c r="O32" s="49"/>
      <c r="P32" s="49"/>
      <c r="Q32" s="49"/>
      <c r="S32"/>
      <c r="T32"/>
      <c r="U32"/>
    </row>
    <row r="33" spans="2:21" ht="15" customHeight="1">
      <c r="B33" s="89" t="s">
        <v>111</v>
      </c>
      <c r="C33" s="89"/>
      <c r="D33" s="89"/>
      <c r="E33" s="89"/>
      <c r="F33" s="89" t="str">
        <f>B70</f>
        <v>per 100 youth found delinquent</v>
      </c>
      <c r="G33" s="89"/>
      <c r="H33" s="89"/>
      <c r="I33" s="89"/>
      <c r="J33" s="89"/>
      <c r="K33" s="89"/>
      <c r="L33" s="104"/>
      <c r="M33" s="142"/>
      <c r="N33" s="49"/>
      <c r="O33" s="49"/>
      <c r="P33" s="49"/>
      <c r="Q33" s="49"/>
      <c r="S33"/>
      <c r="T33"/>
      <c r="U33"/>
    </row>
    <row r="34" spans="2:21" ht="15" customHeight="1">
      <c r="B34" s="89" t="s">
        <v>64</v>
      </c>
      <c r="C34" s="89"/>
      <c r="D34" s="89"/>
      <c r="E34" s="89"/>
      <c r="F34" s="89" t="str">
        <f>B70</f>
        <v>per 100 youth found delinquent</v>
      </c>
      <c r="G34" s="89"/>
      <c r="H34" s="89"/>
      <c r="I34" s="89"/>
      <c r="J34" s="89"/>
      <c r="K34" s="89"/>
      <c r="L34" s="104"/>
      <c r="M34" s="142"/>
      <c r="N34" s="49"/>
      <c r="O34" s="49"/>
      <c r="P34" s="49"/>
      <c r="Q34" s="49"/>
      <c r="S34"/>
      <c r="T34"/>
      <c r="U34"/>
    </row>
    <row r="35" spans="2:21" ht="15" customHeight="1">
      <c r="B35" s="89" t="s">
        <v>74</v>
      </c>
      <c r="C35" s="89"/>
      <c r="D35" s="89"/>
      <c r="E35" s="89"/>
      <c r="F35" s="89" t="str">
        <f>B69</f>
        <v>per 100 youth petitioned</v>
      </c>
      <c r="G35" s="89"/>
      <c r="H35" s="89"/>
      <c r="I35" s="89"/>
      <c r="J35" s="89"/>
      <c r="K35" s="89"/>
      <c r="L35" s="104"/>
      <c r="M35" s="142"/>
      <c r="N35" s="49"/>
      <c r="O35" s="49"/>
      <c r="P35" s="49"/>
      <c r="Q35" s="49"/>
      <c r="S35"/>
      <c r="T35"/>
      <c r="U35"/>
    </row>
    <row r="36" spans="10:21" ht="15" customHeight="1">
      <c r="J36" s="142"/>
      <c r="K36" s="142"/>
      <c r="L36" s="142"/>
      <c r="M36" s="142"/>
      <c r="N36" s="49"/>
      <c r="O36" s="49"/>
      <c r="P36" s="49"/>
      <c r="Q36" s="49"/>
      <c r="S36"/>
      <c r="T36"/>
      <c r="U36"/>
    </row>
    <row r="37" spans="14:21" ht="13.5" customHeight="1" hidden="1">
      <c r="N37" s="49"/>
      <c r="O37" s="49"/>
      <c r="P37" s="49"/>
      <c r="Q37" s="49"/>
      <c r="S37"/>
      <c r="T37"/>
      <c r="U37"/>
    </row>
    <row r="38" spans="14:21" ht="13.5" customHeight="1" hidden="1">
      <c r="N38" s="49"/>
      <c r="O38" s="49"/>
      <c r="P38" s="49"/>
      <c r="Q38" s="49"/>
      <c r="S38"/>
      <c r="T38"/>
      <c r="U38"/>
    </row>
    <row r="39" spans="14:21" ht="13.5" customHeight="1" hidden="1">
      <c r="N39" s="49"/>
      <c r="O39" s="49"/>
      <c r="P39" s="49"/>
      <c r="Q39" s="49"/>
      <c r="S39"/>
      <c r="T39"/>
      <c r="U39"/>
    </row>
    <row r="40" spans="2:21" ht="30.75" customHeight="1" hidden="1">
      <c r="B40" s="50" t="s">
        <v>65</v>
      </c>
      <c r="C40" s="160"/>
      <c r="D40" s="160"/>
      <c r="E40" s="160"/>
      <c r="F40" s="160"/>
      <c r="G40" s="160"/>
      <c r="H40" s="160"/>
      <c r="I40" s="160"/>
      <c r="J40" s="160"/>
      <c r="K40" s="160"/>
      <c r="N40" s="49"/>
      <c r="O40" s="49"/>
      <c r="P40" s="49"/>
      <c r="Q40" s="49"/>
      <c r="S40"/>
      <c r="T40"/>
      <c r="U40"/>
    </row>
    <row r="41" spans="2:21" ht="13.5" customHeight="1" hidden="1">
      <c r="B41" s="124" t="s">
        <v>52</v>
      </c>
      <c r="C41" s="83" t="s">
        <v>206</v>
      </c>
      <c r="D41" s="148" t="s">
        <v>15</v>
      </c>
      <c r="E41" s="83" t="s">
        <v>99</v>
      </c>
      <c r="G41" s="83" t="s">
        <v>117</v>
      </c>
      <c r="H41" s="83"/>
      <c r="I41" s="83"/>
      <c r="L41" t="s">
        <v>230</v>
      </c>
      <c r="N41" s="49"/>
      <c r="O41" s="49"/>
      <c r="P41" s="49"/>
      <c r="Q41" s="49"/>
      <c r="S41"/>
      <c r="T41"/>
      <c r="U41"/>
    </row>
    <row r="42" spans="2:21" ht="13.5" customHeight="1" hidden="1">
      <c r="B42" s="5" t="s">
        <v>170</v>
      </c>
      <c r="C42" s="60">
        <f>C6/1000</f>
        <v>482.993</v>
      </c>
      <c r="D42" s="60">
        <f>E6/1000</f>
        <v>345.228</v>
      </c>
      <c r="E42" s="60">
        <f>MAX(C42:D42)</f>
        <v>482.993</v>
      </c>
      <c r="G42" t="str">
        <f>B42</f>
        <v>per 1000 youth</v>
      </c>
      <c r="L42" s="134">
        <v>1000</v>
      </c>
      <c r="M42" s="134"/>
      <c r="N42" s="49"/>
      <c r="O42" s="49"/>
      <c r="P42" s="49"/>
      <c r="Q42" s="49"/>
      <c r="S42"/>
      <c r="T42"/>
      <c r="U42"/>
    </row>
    <row r="43" spans="2:21" ht="13.5" customHeight="1" hidden="1">
      <c r="B43" s="5" t="s">
        <v>167</v>
      </c>
      <c r="C43" s="60">
        <f>C7/100</f>
        <v>0</v>
      </c>
      <c r="D43" s="60">
        <f>E7/100</f>
        <v>0</v>
      </c>
      <c r="E43" s="60">
        <f>MAX(C43:D43,0)</f>
        <v>0</v>
      </c>
      <c r="G43" t="str">
        <f>B43</f>
        <v>per 100 arrests</v>
      </c>
      <c r="L43" s="134">
        <v>100</v>
      </c>
      <c r="M43" s="134"/>
      <c r="N43" s="49"/>
      <c r="O43" s="49"/>
      <c r="P43" s="49"/>
      <c r="Q43" s="49"/>
      <c r="S43"/>
      <c r="T43"/>
      <c r="U43"/>
    </row>
    <row r="44" spans="2:21" ht="13.5" customHeight="1" hidden="1">
      <c r="B44" s="5" t="s">
        <v>95</v>
      </c>
      <c r="C44" s="60">
        <f>C8/100</f>
        <v>186.77</v>
      </c>
      <c r="D44" s="60">
        <f>E8/100</f>
        <v>249.7</v>
      </c>
      <c r="E44" s="60">
        <f>MAX(C44:D44,0)</f>
        <v>249.7</v>
      </c>
      <c r="G44" t="str">
        <f>B44</f>
        <v>per 100 referrals</v>
      </c>
      <c r="L44" s="134">
        <v>100</v>
      </c>
      <c r="M44" s="134"/>
      <c r="N44" s="49"/>
      <c r="O44" s="49"/>
      <c r="P44" s="49"/>
      <c r="Q44" s="49"/>
      <c r="S44"/>
      <c r="T44"/>
      <c r="U44"/>
    </row>
    <row r="45" spans="2:21" ht="13.5" customHeight="1" hidden="1">
      <c r="B45" s="88" t="s">
        <v>84</v>
      </c>
      <c r="C45" s="128">
        <f>C11/100</f>
        <v>123.74</v>
      </c>
      <c r="D45" s="128">
        <f>E11/100</f>
        <v>171.48</v>
      </c>
      <c r="E45" s="60">
        <f>MAX(C45:D45,0)</f>
        <v>171.48</v>
      </c>
      <c r="G45" t="str">
        <f>B45</f>
        <v>per 100 youth petitioned</v>
      </c>
      <c r="L45" s="134">
        <v>100</v>
      </c>
      <c r="M45" s="134"/>
      <c r="N45" s="49"/>
      <c r="O45" s="49"/>
      <c r="P45" s="49"/>
      <c r="Q45" s="49"/>
      <c r="S45"/>
      <c r="T45"/>
      <c r="U45"/>
    </row>
    <row r="46" spans="2:21" ht="13.5" customHeight="1" hidden="1">
      <c r="B46" s="88" t="s">
        <v>187</v>
      </c>
      <c r="C46" s="128">
        <f>C12/100</f>
        <v>33.16</v>
      </c>
      <c r="D46" s="128">
        <f>E12/100</f>
        <v>59.08</v>
      </c>
      <c r="E46" s="60">
        <f>MAX(C46:D46)</f>
        <v>59.08</v>
      </c>
      <c r="G46" t="str">
        <f>B46</f>
        <v>per 100 youth found delinquent</v>
      </c>
      <c r="L46" s="134">
        <v>100</v>
      </c>
      <c r="M46" s="134"/>
      <c r="N46" s="49"/>
      <c r="O46" s="49"/>
      <c r="P46" s="49"/>
      <c r="Q46" s="49"/>
      <c r="S46"/>
      <c r="T46"/>
      <c r="U46"/>
    </row>
    <row r="47" spans="2:21" ht="13.5" customHeight="1" hidden="1">
      <c r="B47" s="160"/>
      <c r="C47" s="160"/>
      <c r="D47" s="160"/>
      <c r="E47" s="160"/>
      <c r="L47" s="134"/>
      <c r="M47" s="134"/>
      <c r="N47" s="49"/>
      <c r="O47" s="49"/>
      <c r="P47" s="49"/>
      <c r="Q47" s="49"/>
      <c r="S47"/>
      <c r="T47"/>
      <c r="U47"/>
    </row>
    <row r="48" spans="2:21" ht="13.5" customHeight="1" hidden="1">
      <c r="B48" s="128" t="str">
        <f>B42</f>
        <v>per 1000 youth</v>
      </c>
      <c r="C48" s="60">
        <f>C42</f>
        <v>482.993</v>
      </c>
      <c r="D48" s="60">
        <f>D42</f>
        <v>345.228</v>
      </c>
      <c r="E48" s="60">
        <f>MAX(C48:D48)</f>
        <v>482.993</v>
      </c>
      <c r="G48" t="str">
        <f>G42</f>
        <v>per 1000 youth</v>
      </c>
      <c r="L48" s="2">
        <f>L42</f>
        <v>1000</v>
      </c>
      <c r="M48" s="2"/>
      <c r="N48" s="162"/>
      <c r="O48" s="162"/>
      <c r="P48" s="162"/>
      <c r="Q48" s="162"/>
      <c r="S48"/>
      <c r="T48"/>
      <c r="U48"/>
    </row>
    <row r="49" spans="2:21" ht="13.5" customHeight="1" hidden="1">
      <c r="B49" s="5" t="str">
        <f aca="true" t="shared" si="8" ref="B49:D50">IF(($E43&gt;0),B43,B42)</f>
        <v>per 1000 youth</v>
      </c>
      <c r="C49" s="5">
        <f t="shared" si="8"/>
        <v>482.993</v>
      </c>
      <c r="D49" s="5">
        <f t="shared" si="8"/>
        <v>345.228</v>
      </c>
      <c r="E49" s="128">
        <f>MAX(C49:D49)</f>
        <v>482.993</v>
      </c>
      <c r="G49" t="str">
        <f>G43</f>
        <v>per 100 arrests</v>
      </c>
      <c r="L49" s="39">
        <f>IF(($E43&gt;0),L43,L42)</f>
        <v>1000</v>
      </c>
      <c r="M49" s="39"/>
      <c r="N49" s="162"/>
      <c r="O49" s="162"/>
      <c r="P49" s="162"/>
      <c r="Q49" s="162"/>
      <c r="S49"/>
      <c r="T49"/>
      <c r="U49"/>
    </row>
    <row r="50" spans="2:21" ht="13.5" customHeight="1" hidden="1">
      <c r="B50" s="5" t="str">
        <f t="shared" si="8"/>
        <v>per 100 referrals</v>
      </c>
      <c r="C50" s="5">
        <f t="shared" si="8"/>
        <v>186.77</v>
      </c>
      <c r="D50" s="5">
        <f t="shared" si="8"/>
        <v>249.7</v>
      </c>
      <c r="E50" s="128">
        <f>MAX(C50:D50)</f>
        <v>249.7</v>
      </c>
      <c r="G50" t="str">
        <f>G44</f>
        <v>per 100 referrals</v>
      </c>
      <c r="L50" s="39">
        <f>IF(($E44&gt;0),L44,L43)</f>
        <v>100</v>
      </c>
      <c r="M50" s="39"/>
      <c r="N50" s="162"/>
      <c r="O50" s="162"/>
      <c r="P50" s="162"/>
      <c r="Q50" s="162"/>
      <c r="S50"/>
      <c r="T50"/>
      <c r="U50"/>
    </row>
    <row r="51" spans="2:21" ht="13.5" customHeight="1" hidden="1">
      <c r="B51" s="5" t="str">
        <f>IF(($E45&gt;0),B45,B43)</f>
        <v>per 100 youth petitioned</v>
      </c>
      <c r="C51" s="5">
        <f>IF(($E45&gt;0),C45,C44)</f>
        <v>123.74</v>
      </c>
      <c r="D51" s="5">
        <f>IF(($E45&gt;0),D45,D44)</f>
        <v>171.48</v>
      </c>
      <c r="E51" s="128">
        <f>MAX(C51:D51)</f>
        <v>171.48</v>
      </c>
      <c r="G51" t="str">
        <f>G45</f>
        <v>per 100 youth petitioned</v>
      </c>
      <c r="L51" s="39">
        <f>IF(($E45&gt;0),L45,L44)</f>
        <v>100</v>
      </c>
      <c r="M51" s="39"/>
      <c r="N51" s="49"/>
      <c r="O51" s="49"/>
      <c r="P51" s="49"/>
      <c r="Q51" s="49"/>
      <c r="S51"/>
      <c r="T51"/>
      <c r="U51"/>
    </row>
    <row r="52" spans="2:21" ht="13.5" customHeight="1" hidden="1">
      <c r="B52" s="128" t="str">
        <f>IF(($E46&gt;0),B46,B45)</f>
        <v>per 100 youth found delinquent</v>
      </c>
      <c r="C52" s="128">
        <f>IF(($E46&gt;0),C46,C45)</f>
        <v>33.16</v>
      </c>
      <c r="D52" s="128">
        <f>IF(($E46&gt;0),D46,D45)</f>
        <v>59.08</v>
      </c>
      <c r="E52" s="60">
        <f>MAX(C52:D52)</f>
        <v>59.08</v>
      </c>
      <c r="G52" t="str">
        <f>G46</f>
        <v>per 100 youth found delinquent</v>
      </c>
      <c r="L52" s="39">
        <f>IF(($E46&gt;0),L46,L45)</f>
        <v>100</v>
      </c>
      <c r="M52" s="39"/>
      <c r="N52" s="49"/>
      <c r="O52" s="49"/>
      <c r="P52" s="49"/>
      <c r="Q52" s="49"/>
      <c r="S52"/>
      <c r="T52"/>
      <c r="U52"/>
    </row>
    <row r="53" spans="2:21" ht="13.5" customHeight="1" hidden="1">
      <c r="B53" s="5"/>
      <c r="C53" s="128"/>
      <c r="D53" s="128"/>
      <c r="E53" s="128"/>
      <c r="L53" s="134"/>
      <c r="M53" s="134"/>
      <c r="N53" s="49"/>
      <c r="O53" s="49"/>
      <c r="P53" s="49"/>
      <c r="Q53" s="49"/>
      <c r="S53"/>
      <c r="T53"/>
      <c r="U53"/>
    </row>
    <row r="54" spans="2:21" ht="13.5" customHeight="1" hidden="1">
      <c r="B54" s="128" t="str">
        <f>B48</f>
        <v>per 1000 youth</v>
      </c>
      <c r="C54" s="60">
        <f>C48</f>
        <v>482.993</v>
      </c>
      <c r="D54" s="60">
        <f>D48</f>
        <v>345.228</v>
      </c>
      <c r="E54" s="60">
        <f>MAX(C54:D54)</f>
        <v>482.993</v>
      </c>
      <c r="G54" t="str">
        <f>G48</f>
        <v>per 1000 youth</v>
      </c>
      <c r="L54" s="2">
        <f>L48</f>
        <v>1000</v>
      </c>
      <c r="M54" s="2"/>
      <c r="N54" s="49"/>
      <c r="O54" s="49"/>
      <c r="P54" s="49"/>
      <c r="Q54" s="49"/>
      <c r="S54"/>
      <c r="T54"/>
      <c r="U54"/>
    </row>
    <row r="55" spans="2:21" ht="13.5" customHeight="1" hidden="1">
      <c r="B55" s="5" t="str">
        <f aca="true" t="shared" si="9" ref="B55:D56">IF(($E49&gt;0),B49,B48)</f>
        <v>per 1000 youth</v>
      </c>
      <c r="C55" s="5">
        <f t="shared" si="9"/>
        <v>482.993</v>
      </c>
      <c r="D55" s="5">
        <f t="shared" si="9"/>
        <v>345.228</v>
      </c>
      <c r="E55" s="128">
        <f>MAX(C55:D55)</f>
        <v>482.993</v>
      </c>
      <c r="G55" t="str">
        <f>G49</f>
        <v>per 100 arrests</v>
      </c>
      <c r="L55" s="39">
        <f>IF(($E49&gt;0),L49,L48)</f>
        <v>1000</v>
      </c>
      <c r="M55" s="39"/>
      <c r="N55" s="49"/>
      <c r="O55" s="49"/>
      <c r="P55" s="49"/>
      <c r="Q55" s="49"/>
      <c r="S55"/>
      <c r="T55"/>
      <c r="U55"/>
    </row>
    <row r="56" spans="2:21" ht="13.5" customHeight="1" hidden="1">
      <c r="B56" s="5" t="str">
        <f t="shared" si="9"/>
        <v>per 100 referrals</v>
      </c>
      <c r="C56" s="5">
        <f t="shared" si="9"/>
        <v>186.77</v>
      </c>
      <c r="D56" s="5">
        <f t="shared" si="9"/>
        <v>249.7</v>
      </c>
      <c r="E56" s="128">
        <f>MAX(C56:D56)</f>
        <v>249.7</v>
      </c>
      <c r="G56" t="str">
        <f>G50</f>
        <v>per 100 referrals</v>
      </c>
      <c r="L56" s="39">
        <f>IF(($E50&gt;0),L50,L49)</f>
        <v>100</v>
      </c>
      <c r="M56" s="39"/>
      <c r="N56" s="49"/>
      <c r="O56" s="49"/>
      <c r="P56" s="49"/>
      <c r="Q56" s="49"/>
      <c r="S56"/>
      <c r="T56"/>
      <c r="U56"/>
    </row>
    <row r="57" spans="2:21" ht="13.5" customHeight="1" hidden="1">
      <c r="B57" s="5" t="str">
        <f>IF(($E51&gt;0),B51,B49)</f>
        <v>per 100 youth petitioned</v>
      </c>
      <c r="C57" s="5">
        <f>IF(($E51&gt;0),C51,C50)</f>
        <v>123.74</v>
      </c>
      <c r="D57" s="5">
        <f>IF(($E51&gt;0),D51,D50)</f>
        <v>171.48</v>
      </c>
      <c r="E57" s="128">
        <f>MAX(C57:D57)</f>
        <v>171.48</v>
      </c>
      <c r="G57" t="str">
        <f>G51</f>
        <v>per 100 youth petitioned</v>
      </c>
      <c r="L57" s="39">
        <f>IF(($E51&gt;0),L51,L50)</f>
        <v>100</v>
      </c>
      <c r="M57" s="39"/>
      <c r="N57" s="49"/>
      <c r="O57" s="49"/>
      <c r="P57" s="49"/>
      <c r="Q57" s="49"/>
      <c r="S57"/>
      <c r="T57"/>
      <c r="U57"/>
    </row>
    <row r="58" spans="2:21" ht="13.5" customHeight="1" hidden="1">
      <c r="B58" s="128" t="str">
        <f>IF(($E52&gt;0),B52,B51)</f>
        <v>per 100 youth found delinquent</v>
      </c>
      <c r="C58" s="128">
        <f>IF(($E52&gt;0),C52,C51)</f>
        <v>33.16</v>
      </c>
      <c r="D58" s="128">
        <f>IF(($E52&gt;0),D52,D51)</f>
        <v>59.08</v>
      </c>
      <c r="E58" s="60">
        <f>MAX(C58:D58)</f>
        <v>59.08</v>
      </c>
      <c r="G58" t="str">
        <f>G52</f>
        <v>per 100 youth found delinquent</v>
      </c>
      <c r="L58" s="2">
        <f>IF(($E52&gt;0),L52,L51)</f>
        <v>100</v>
      </c>
      <c r="M58" s="2"/>
      <c r="N58" s="49"/>
      <c r="O58" s="49"/>
      <c r="P58" s="49"/>
      <c r="Q58" s="49"/>
      <c r="S58"/>
      <c r="T58"/>
      <c r="U58"/>
    </row>
    <row r="59" spans="2:21" ht="13.5" customHeight="1" hidden="1">
      <c r="B59" s="128"/>
      <c r="C59" s="128"/>
      <c r="D59" s="128"/>
      <c r="E59" s="128"/>
      <c r="L59" s="134"/>
      <c r="M59" s="134"/>
      <c r="N59" s="49"/>
      <c r="O59" s="49"/>
      <c r="P59" s="49"/>
      <c r="Q59" s="49"/>
      <c r="S59"/>
      <c r="T59"/>
      <c r="U59"/>
    </row>
    <row r="60" spans="2:21" ht="13.5" customHeight="1" hidden="1">
      <c r="B60" s="128" t="str">
        <f>B54</f>
        <v>per 1000 youth</v>
      </c>
      <c r="C60" s="60">
        <f>C54</f>
        <v>482.993</v>
      </c>
      <c r="D60" s="60">
        <f>D54</f>
        <v>345.228</v>
      </c>
      <c r="E60" s="60">
        <f>MAX(C60:D60)</f>
        <v>482.993</v>
      </c>
      <c r="G60" t="str">
        <f>G54</f>
        <v>per 1000 youth</v>
      </c>
      <c r="L60" s="2">
        <f>L54</f>
        <v>1000</v>
      </c>
      <c r="M60" s="2"/>
      <c r="N60" s="49"/>
      <c r="O60" s="49"/>
      <c r="P60" s="49"/>
      <c r="Q60" s="49"/>
      <c r="S60"/>
      <c r="T60"/>
      <c r="U60"/>
    </row>
    <row r="61" spans="2:21" ht="13.5" customHeight="1" hidden="1">
      <c r="B61" s="5" t="str">
        <f aca="true" t="shared" si="10" ref="B61:D62">IF(($E55&gt;0),B55,B54)</f>
        <v>per 1000 youth</v>
      </c>
      <c r="C61" s="5">
        <f t="shared" si="10"/>
        <v>482.993</v>
      </c>
      <c r="D61" s="5">
        <f t="shared" si="10"/>
        <v>345.228</v>
      </c>
      <c r="E61" s="128">
        <f>MAX(C61:D61)</f>
        <v>482.993</v>
      </c>
      <c r="G61" t="str">
        <f>G55</f>
        <v>per 100 arrests</v>
      </c>
      <c r="L61" s="39">
        <f>IF(($E55&gt;0),L55,L54)</f>
        <v>1000</v>
      </c>
      <c r="M61" s="39"/>
      <c r="N61" s="49"/>
      <c r="O61" s="49"/>
      <c r="P61" s="49"/>
      <c r="Q61" s="49"/>
      <c r="S61"/>
      <c r="T61"/>
      <c r="U61"/>
    </row>
    <row r="62" spans="2:21" ht="13.5" customHeight="1" hidden="1">
      <c r="B62" s="5" t="str">
        <f t="shared" si="10"/>
        <v>per 100 referrals</v>
      </c>
      <c r="C62" s="5">
        <f t="shared" si="10"/>
        <v>186.77</v>
      </c>
      <c r="D62" s="5">
        <f t="shared" si="10"/>
        <v>249.7</v>
      </c>
      <c r="E62" s="128">
        <f>MAX(C62:D62)</f>
        <v>249.7</v>
      </c>
      <c r="G62" t="str">
        <f>G56</f>
        <v>per 100 referrals</v>
      </c>
      <c r="L62" s="39">
        <f>IF(($E56&gt;0),L56,L55)</f>
        <v>100</v>
      </c>
      <c r="M62" s="39"/>
      <c r="N62" s="49"/>
      <c r="O62" s="49"/>
      <c r="P62" s="49"/>
      <c r="Q62" s="49"/>
      <c r="S62"/>
      <c r="T62"/>
      <c r="U62"/>
    </row>
    <row r="63" spans="2:21" ht="13.5" customHeight="1" hidden="1">
      <c r="B63" s="5" t="str">
        <f>IF(($E57&gt;0),B57,B55)</f>
        <v>per 100 youth petitioned</v>
      </c>
      <c r="C63" s="5">
        <f>IF(($E57&gt;0),C57,C56)</f>
        <v>123.74</v>
      </c>
      <c r="D63" s="5">
        <f>IF(($E57&gt;0),D57,D56)</f>
        <v>171.48</v>
      </c>
      <c r="E63" s="128">
        <f>MAX(C63:D63)</f>
        <v>171.48</v>
      </c>
      <c r="G63" t="str">
        <f>G57</f>
        <v>per 100 youth petitioned</v>
      </c>
      <c r="L63" s="39">
        <f>IF(($E57&gt;0),L57,L56)</f>
        <v>100</v>
      </c>
      <c r="M63" s="39"/>
      <c r="N63" s="49"/>
      <c r="O63" s="49"/>
      <c r="P63" s="49"/>
      <c r="Q63" s="49"/>
      <c r="S63"/>
      <c r="T63"/>
      <c r="U63"/>
    </row>
    <row r="64" spans="2:21" ht="13.5" customHeight="1" hidden="1">
      <c r="B64" s="128" t="str">
        <f>IF(($E58&gt;0),B58,B57)</f>
        <v>per 100 youth found delinquent</v>
      </c>
      <c r="C64" s="128">
        <f>IF(($E58&gt;0),C58,C57)</f>
        <v>33.16</v>
      </c>
      <c r="D64" s="128">
        <f>IF(($E58&gt;0),D58,D57)</f>
        <v>59.08</v>
      </c>
      <c r="E64" s="60">
        <f>MAX(C64:D64)</f>
        <v>59.08</v>
      </c>
      <c r="G64" t="str">
        <f>G58</f>
        <v>per 100 youth found delinquent</v>
      </c>
      <c r="L64" s="2">
        <f>IF(($E58&gt;0),L58,L57)</f>
        <v>100</v>
      </c>
      <c r="M64" s="2"/>
      <c r="N64" s="49"/>
      <c r="O64" s="49"/>
      <c r="P64" s="49"/>
      <c r="Q64" s="49"/>
      <c r="S64"/>
      <c r="T64"/>
      <c r="U64"/>
    </row>
    <row r="65" spans="2:21" ht="13.5" customHeight="1" hidden="1">
      <c r="B65" s="171" t="s">
        <v>224</v>
      </c>
      <c r="L65" s="134"/>
      <c r="M65" s="134"/>
      <c r="N65" s="49"/>
      <c r="O65" s="49"/>
      <c r="P65" s="49"/>
      <c r="Q65" s="49"/>
      <c r="S65"/>
      <c r="T65"/>
      <c r="U65"/>
    </row>
    <row r="66" spans="2:21" ht="13.5" customHeight="1" hidden="1">
      <c r="B66" s="128" t="str">
        <f>B60</f>
        <v>per 1000 youth</v>
      </c>
      <c r="C66" s="60">
        <f>C60</f>
        <v>482.993</v>
      </c>
      <c r="D66" s="60">
        <f>D60</f>
        <v>345.228</v>
      </c>
      <c r="E66" s="60">
        <f>MAX(C66:D66)</f>
        <v>482.993</v>
      </c>
      <c r="G66" t="str">
        <f>G60</f>
        <v>per 1000 youth</v>
      </c>
      <c r="L66" s="2">
        <f>L60</f>
        <v>1000</v>
      </c>
      <c r="M66" s="2">
        <f>IF((B66=G66),1,2)</f>
        <v>1</v>
      </c>
      <c r="N66" s="49"/>
      <c r="O66" s="49"/>
      <c r="P66" s="49"/>
      <c r="Q66" s="49"/>
      <c r="S66"/>
      <c r="T66"/>
      <c r="U66"/>
    </row>
    <row r="67" spans="2:21" ht="13.5" customHeight="1" hidden="1">
      <c r="B67" s="5" t="str">
        <f aca="true" t="shared" si="11" ref="B67:D68">IF(($E61&gt;0),B61,B60)</f>
        <v>per 1000 youth</v>
      </c>
      <c r="C67" s="5">
        <f t="shared" si="11"/>
        <v>482.993</v>
      </c>
      <c r="D67" s="5">
        <f t="shared" si="11"/>
        <v>345.228</v>
      </c>
      <c r="E67" s="128">
        <f>MAX(C67:D67)</f>
        <v>482.993</v>
      </c>
      <c r="G67" t="str">
        <f>G61</f>
        <v>per 100 arrests</v>
      </c>
      <c r="L67" s="39">
        <f>IF(($E61&gt;0),L61,L60)</f>
        <v>1000</v>
      </c>
      <c r="M67" s="2">
        <f>IF((B67=G67),1,2)</f>
        <v>2</v>
      </c>
      <c r="N67" s="49"/>
      <c r="O67" s="49"/>
      <c r="P67" s="49"/>
      <c r="Q67" s="49"/>
      <c r="S67"/>
      <c r="T67"/>
      <c r="U67"/>
    </row>
    <row r="68" spans="2:21" ht="13.5" customHeight="1" hidden="1">
      <c r="B68" s="5" t="str">
        <f t="shared" si="11"/>
        <v>per 100 referrals</v>
      </c>
      <c r="C68" s="5">
        <f t="shared" si="11"/>
        <v>186.77</v>
      </c>
      <c r="D68" s="5">
        <f t="shared" si="11"/>
        <v>249.7</v>
      </c>
      <c r="E68" s="128">
        <f>MAX(C68:D68)</f>
        <v>249.7</v>
      </c>
      <c r="G68" t="str">
        <f>G62</f>
        <v>per 100 referrals</v>
      </c>
      <c r="L68" s="39">
        <f>IF(($E62&gt;0),L62,L61)</f>
        <v>100</v>
      </c>
      <c r="M68" s="2">
        <f>IF((B68=G68),1,2)</f>
        <v>1</v>
      </c>
      <c r="N68" s="49"/>
      <c r="O68" s="49"/>
      <c r="P68" s="49"/>
      <c r="Q68" s="49"/>
      <c r="S68"/>
      <c r="T68"/>
      <c r="U68"/>
    </row>
    <row r="69" spans="2:21" ht="13.5" customHeight="1" hidden="1">
      <c r="B69" s="5" t="str">
        <f>IF(($E63&gt;0),B63,B61)</f>
        <v>per 100 youth petitioned</v>
      </c>
      <c r="C69" s="5">
        <f>IF(($E63&gt;0),C63,C62)</f>
        <v>123.74</v>
      </c>
      <c r="D69" s="5">
        <f>IF(($E63&gt;0),D63,D62)</f>
        <v>171.48</v>
      </c>
      <c r="E69" s="128">
        <f>MAX(C69:D69)</f>
        <v>171.48</v>
      </c>
      <c r="G69" t="str">
        <f>G63</f>
        <v>per 100 youth petitioned</v>
      </c>
      <c r="L69" s="39">
        <f>IF(($E63&gt;0),L63,L62)</f>
        <v>100</v>
      </c>
      <c r="M69" s="2">
        <f>IF((B69=G69),1,2)</f>
        <v>1</v>
      </c>
      <c r="N69" s="49"/>
      <c r="O69" s="49"/>
      <c r="P69" s="49"/>
      <c r="Q69" s="49"/>
      <c r="S69"/>
      <c r="T69"/>
      <c r="U69"/>
    </row>
    <row r="70" spans="2:21" ht="13.5" customHeight="1" hidden="1">
      <c r="B70" s="128" t="str">
        <f>IF(($E64&gt;0),B64,B63)</f>
        <v>per 100 youth found delinquent</v>
      </c>
      <c r="C70" s="128">
        <f>IF(($E64&gt;0),C64,C63)</f>
        <v>33.16</v>
      </c>
      <c r="D70" s="128">
        <f>IF(($E64&gt;0),D64,D63)</f>
        <v>59.08</v>
      </c>
      <c r="E70" s="60">
        <f>MAX(C70:D70)</f>
        <v>59.08</v>
      </c>
      <c r="G70" t="str">
        <f>G64</f>
        <v>per 100 youth found delinquent</v>
      </c>
      <c r="L70" s="2">
        <f>IF(($E64&gt;0),L64,L63)</f>
        <v>100</v>
      </c>
      <c r="M70" s="2">
        <f>IF((B70=G70),1,2)</f>
        <v>1</v>
      </c>
      <c r="N70" s="49"/>
      <c r="O70" s="49"/>
      <c r="P70" s="49"/>
      <c r="Q70" s="49"/>
      <c r="S70"/>
      <c r="T70"/>
      <c r="U70"/>
    </row>
    <row r="71" spans="14:21" ht="13.5" customHeight="1" hidden="1">
      <c r="N71" s="49"/>
      <c r="O71" s="49"/>
      <c r="P71" s="49"/>
      <c r="Q71" s="49"/>
      <c r="S71"/>
      <c r="T71"/>
      <c r="U71"/>
    </row>
    <row r="72" spans="14:21" ht="13.5" customHeight="1" hidden="1">
      <c r="N72" s="49"/>
      <c r="O72" s="49"/>
      <c r="P72" s="49"/>
      <c r="Q72" s="49"/>
      <c r="S72"/>
      <c r="T72"/>
      <c r="U72"/>
    </row>
    <row r="73" spans="14:21" ht="13.5" customHeight="1" hidden="1">
      <c r="N73" s="49"/>
      <c r="O73" s="49"/>
      <c r="P73" s="49"/>
      <c r="Q73" s="49"/>
      <c r="S73"/>
      <c r="T73"/>
      <c r="U73"/>
    </row>
    <row r="74" spans="14:21" ht="13.5" customHeight="1" hidden="1">
      <c r="N74" s="49"/>
      <c r="O74" s="49"/>
      <c r="P74" s="49"/>
      <c r="Q74" s="49"/>
      <c r="S74"/>
      <c r="T74"/>
      <c r="U74"/>
    </row>
    <row r="75" ht="13.5" customHeight="1" hidden="1"/>
    <row r="76" ht="13.5" customHeight="1" hidden="1"/>
    <row r="77" ht="13.5" customHeight="1" hidden="1"/>
    <row r="78" ht="13.5" customHeight="1" hidden="1"/>
    <row r="79" ht="13.5" customHeight="1" hidden="1"/>
    <row r="80" ht="13.5" customHeight="1" hidden="1"/>
    <row r="81" ht="13.5" customHeight="1" hidden="1"/>
    <row r="82" ht="13.5" customHeight="1" hidden="1">
      <c r="B82" s="92"/>
    </row>
    <row r="83" ht="13.5" customHeight="1" hidden="1">
      <c r="B83" s="31"/>
    </row>
    <row r="84" ht="13.5" customHeight="1" hidden="1"/>
    <row r="85" ht="13.5" customHeight="1" hidden="1"/>
    <row r="86" ht="13.5" customHeight="1" hidden="1"/>
    <row r="87" ht="13.5" customHeight="1" hidden="1"/>
    <row r="88" ht="13.5" customHeight="1" hidden="1"/>
    <row r="89" ht="13.5" customHeight="1" hidden="1"/>
    <row r="90" ht="13.5" customHeight="1" hidden="1"/>
  </sheetData>
  <mergeCells count="5">
    <mergeCell ref="B40:J40"/>
    <mergeCell ref="C2:D2"/>
    <mergeCell ref="C3:D3"/>
    <mergeCell ref="R1:U4"/>
    <mergeCell ref="N2:Q4"/>
  </mergeCells>
  <conditionalFormatting sqref="F28">
    <cfRule type="expression" priority="1" dxfId="0" stopIfTrue="1">
      <formula>M67=2</formula>
    </cfRule>
  </conditionalFormatting>
  <conditionalFormatting sqref="F35">
    <cfRule type="expression" priority="2" dxfId="0" stopIfTrue="1">
      <formula>M69=2</formula>
    </cfRule>
  </conditionalFormatting>
  <conditionalFormatting sqref="G7:G15">
    <cfRule type="expression" priority="3" dxfId="0" stopIfTrue="1">
      <formula>$L7=1</formula>
    </cfRule>
    <cfRule type="expression" priority="4" dxfId="1" stopIfTrue="1">
      <formula>$L7=2</formula>
    </cfRule>
    <cfRule type="expression" priority="5" dxfId="2" stopIfTrue="1">
      <formula>$L7&gt;3</formula>
    </cfRule>
  </conditionalFormatting>
  <conditionalFormatting sqref="F27">
    <cfRule type="expression" priority="6" dxfId="3" stopIfTrue="1">
      <formula>M66=2</formula>
    </cfRule>
  </conditionalFormatting>
  <conditionalFormatting sqref="F29">
    <cfRule type="expression" priority="7" dxfId="0" stopIfTrue="1">
      <formula>M68=2</formula>
    </cfRule>
  </conditionalFormatting>
  <conditionalFormatting sqref="F30">
    <cfRule type="expression" priority="8" dxfId="0" stopIfTrue="1">
      <formula>M68=2</formula>
    </cfRule>
  </conditionalFormatting>
  <conditionalFormatting sqref="F31">
    <cfRule type="expression" priority="9" dxfId="0" stopIfTrue="1">
      <formula>M68=2</formula>
    </cfRule>
  </conditionalFormatting>
  <conditionalFormatting sqref="F32:F33">
    <cfRule type="expression" priority="10" dxfId="0" stopIfTrue="1">
      <formula>M69=2</formula>
    </cfRule>
  </conditionalFormatting>
  <conditionalFormatting sqref="F34">
    <cfRule type="expression" priority="11" dxfId="0" stopIfTrue="1">
      <formula>M70=2</formula>
    </cfRule>
  </conditionalFormatting>
  <conditionalFormatting sqref="B86">
    <cfRule type="expression" priority="12" dxfId="0" stopIfTrue="1">
      <formula>$D$83=2</formula>
    </cfRule>
  </conditionalFormatting>
  <printOptions/>
  <pageMargins left="0.53" right="0.42" top="0.75" bottom="0.5" header="0" footer="0"/>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